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tabRatio="883" activeTab="0"/>
  </bookViews>
  <sheets>
    <sheet name="Art. mleczne" sheetId="1" r:id="rId1"/>
    <sheet name="Art. spożywcze" sheetId="2" r:id="rId2"/>
    <sheet name="Warzywa " sheetId="3" r:id="rId3"/>
    <sheet name="Mrożonki" sheetId="4" r:id="rId4"/>
  </sheets>
  <definedNames>
    <definedName name="_xlnm.Print_Area" localSheetId="0">'Art. mleczne'!$A$1:$I$37</definedName>
    <definedName name="_xlnm.Print_Area" localSheetId="1">'Art. spożywcze'!$A$1:$I$131</definedName>
    <definedName name="_xlnm.Print_Area" localSheetId="2">'Warzywa '!$A$1:$I$73</definedName>
  </definedNames>
  <calcPr fullCalcOnLoad="1"/>
</workbook>
</file>

<file path=xl/sharedStrings.xml><?xml version="1.0" encoding="utf-8"?>
<sst xmlns="http://schemas.openxmlformats.org/spreadsheetml/2006/main" count="437" uniqueCount="217">
  <si>
    <t xml:space="preserve">      /pieczęć firmowa Wykonawcy/</t>
  </si>
  <si>
    <t>......................., dnia .........................</t>
  </si>
  <si>
    <t>Lp.</t>
  </si>
  <si>
    <t>Asortyment</t>
  </si>
  <si>
    <t>J.m.</t>
  </si>
  <si>
    <t>Ilość</t>
  </si>
  <si>
    <t>Wartość netto</t>
  </si>
  <si>
    <t>Wartość brutto</t>
  </si>
  <si>
    <t>szt.</t>
  </si>
  <si>
    <t>l.</t>
  </si>
  <si>
    <t>kg</t>
  </si>
  <si>
    <t xml:space="preserve">                                                                                .........................................................................</t>
  </si>
  <si>
    <t xml:space="preserve">               </t>
  </si>
  <si>
    <t>/podpis osób uprawnionych do reprezentacji/</t>
  </si>
  <si>
    <t>szt</t>
  </si>
  <si>
    <t>Cukier biały kryształ (opak. 1kg)</t>
  </si>
  <si>
    <t xml:space="preserve">szt. </t>
  </si>
  <si>
    <t>Czosnek- główka o wadze 70 gram  o średnicy 6cm, wysuszony ,bez przerostów, bez zanieczyszczeń biologicznych</t>
  </si>
  <si>
    <t>Kapusta biała cała ,zdrowa o świeżym wyglądzie , nie popękana, bez uszkodzeń, bez liści zewnętrznych, kolor jasno zielony</t>
  </si>
  <si>
    <t>Ogórek świeży długi (szklarniowy) do bezpośredniego spożycia, długość 15-20 cm, barwa ciemno zielona, świeży bez uszkodzeń mechanicznych, bez zmian biologicznych, opakowanie worki foliowe 5-10 kg, odmiana jednorodna przy każdej dostawie</t>
  </si>
  <si>
    <t>Seler korzeniowy -bez uszkodzeń mechanicznych i zmian biologicznych, czysty, pakowany w worki siatkowe</t>
  </si>
  <si>
    <t>Ziemniaki- bez uszkodzeń mechanicznych i zmian biologicznych,czyste bez śladu piachu i brudu o średnicy poprzecznej min. 4 cm i podłużnej min. 5 cm, pakowane w worki 10 kg , odmiana jednorodna przy każdorazowej dostawie</t>
  </si>
  <si>
    <t xml:space="preserve">Burak ćwikłowy bez uszkodzeń mechanicznych i zmian biologicznych,ciemno czerwony, kształt okrągły, sortowany o średnicy 10- 12 cm., czysty, niezarobaczywiony, </t>
  </si>
  <si>
    <t>Pomidory spod osłon-bez uszkodzeń mechanicznych i zmian biologicznych, jadalny do bezpośredniego spożycia, kształt okrągły, sortowany o wadze 150- 170g, czerwony, twardy,  nieuszkodzony, smak zapach typowy,  odmiana jednorodna przy każdorazowej dostawie</t>
  </si>
  <si>
    <t>Kapusta czerwona cała, zdrowa o świeżym wyglądzie, bez uszkodzeń, bez liści zewnętrznych</t>
  </si>
  <si>
    <t>Śmietana 12% słodka opakowanie 500 ml</t>
  </si>
  <si>
    <t>Brokuły świeże  - wolne od szkodników i uszkodzeń, bez zanieczyszczeń biologicznych, ciemnozielone</t>
  </si>
  <si>
    <t>Cytryny  świeże bez uszkodzeń mechanicznych i biologicznych</t>
  </si>
  <si>
    <t>Śliwki  świeże bez uszkodzeń mechanicznych i biologicznych</t>
  </si>
  <si>
    <t>Nektarynki świeże bez uszkodzeń mechanicznych i  biologicznych</t>
  </si>
  <si>
    <t>Mandarynki  soczyste, słodkie bez uszkodzeń mechanicznych i biologicznych, jednej wielkości</t>
  </si>
  <si>
    <t>Banany, świeże,  bez uszkodzeń mechanicznych i biologicznych</t>
  </si>
  <si>
    <t>Brzoskwinie,  świeże, bez uszkodzeń mechanicznych i biologicznych</t>
  </si>
  <si>
    <t>Pomarańcza  dojrzała, soczysta, bez uszkodzeń mechanicznych i biologicznych</t>
  </si>
  <si>
    <t>Jabłka -  sortowane, soczyste słodko-winne ,waga 150-170g/1 sztuka, bez uszkodzeń mechanicznych i biologicznych, pakowane w skrzynki</t>
  </si>
  <si>
    <t>Kalafiory  świeże, wolne od szkodników i uszkodzeń , bez zanieczyszczeń biologicznych, białe</t>
  </si>
  <si>
    <t>Kapusta kiszona z marchwią min 5 % - kiszona naturalnie bez dodatku octu , pakowana w wiaderka 3kg i 5 kg</t>
  </si>
  <si>
    <t>Marchew odmiana Karotka świeża o długości 15- 20cm-bez uszkodzeń mechanicznych i zmian biologicznych, czysta ,twarda, bez naci, pakowana w worki 5-10 kg.</t>
  </si>
  <si>
    <t>Kapusta pekińska, świeża, wolna od szkodników, bez uszkodzeń biologicznych</t>
  </si>
  <si>
    <t>Por -bez uszkodzeń mechanicznych i zmian biologicznych, czysty, świeży nie zwiędnięty</t>
  </si>
  <si>
    <t>Pieczarki świeże, czyste, bez uszkodzeń mechanicznych i biologicznych,  pakowane w skrzynki, białe</t>
  </si>
  <si>
    <t>Pietruszka - korzeń ,bez uszkodzeń mechanicznych i zmian biologicznych, nie zwiędnięta, czysta</t>
  </si>
  <si>
    <t>Kapusta włoska, cała, o zdrowym wyglądzie, bez uszkodzeń mechanicznych i biologicznych, wolna od szkodników</t>
  </si>
  <si>
    <t xml:space="preserve">Pietruszka natka, świeża, pakowana w pęczki, nie zwiędnięta </t>
  </si>
  <si>
    <t>pęcz.</t>
  </si>
  <si>
    <t>Sałata świeża, krucha, bez uszkodzonych liści</t>
  </si>
  <si>
    <t>Rzodkiewka, jędrna, świeża, bez uszkodzeń mechaniczbnych, wolna od szkodników, pakowana w pęczki</t>
  </si>
  <si>
    <t>Kiwi średniodojrzałe,  bez uszkodzeń mechanicznych i biologicznych, pakowane w skrzynki, jednorodne</t>
  </si>
  <si>
    <t>Cebula - dobrze  wysuszona bez szczypiorku , sortowana o jednakowej wielkości 5-8 cm. bez uszkodzeń mechanicznych, pakowana w worki raszlowe 10 kg.</t>
  </si>
  <si>
    <t>Cebulka prażona opakowanie 1 kg.</t>
  </si>
  <si>
    <r>
      <t xml:space="preserve">Kwas od kapusty </t>
    </r>
    <r>
      <rPr>
        <sz val="10"/>
        <rFont val="Arial"/>
        <family val="2"/>
      </rPr>
      <t xml:space="preserve">w butelce pojemność  0,5 l </t>
    </r>
  </si>
  <si>
    <t>Sól himalajska opakowanie  1kg</t>
  </si>
  <si>
    <t>Sól morska opakowanie  1kg</t>
  </si>
  <si>
    <t>Jogurt owocowy smak brzoskwiniowy, truskawkowy, waniliowy, opakowanie jednostkowe kubek 115g., 120g.  przy dostawach jednakowa waga kubków i smaków, bez substancji słodzących, ograniczenie zawartości cukru (mniej niż 10g/100 ml produktu) bez substancji zagęszczjących, białka mleka , mleka w proszku</t>
  </si>
  <si>
    <t>Twaróg półtłusty (opak. 1kg - sztuka, opakowany w papier pergaminowy)</t>
  </si>
  <si>
    <t>Ciastka owsiane -kokosowe, produkt zbożowy (bez pszenicy) składający się w 42,4% z pełnego ziarna owsa z dodatkiem wiórków kokosowych, opakowanie 38g</t>
  </si>
  <si>
    <t>Herbata miętowa 100% liści mięty pieprzowej  (opakowanie 40 g - 20 saszetekx2g)  , esencjonalny napar, wyczuwalny smak herbaty bez obcych zapachów</t>
  </si>
  <si>
    <r>
      <t xml:space="preserve">Szczypior, świeży, gruby, zielony, pakowany w pęczki, przekrój pęczka min.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5 cm</t>
    </r>
  </si>
  <si>
    <t>Mleko 3,2% UHT bez dodatku cukru i substancji słodzących  (opakowanie karton  1 l.)</t>
  </si>
  <si>
    <t>Jogurt naturalny bez substancji zagęszczających, białka mleka, mleka w proszku, o zawartości cukru nie więcej niż 10 g w 100 g  (opakowanie  400g.) typu "Grecki"</t>
  </si>
  <si>
    <t xml:space="preserve">Śmietana 18% , węglowodany 3,6g, w tym cukry 3,6g, białko 2,5 g opakowanie 400g </t>
  </si>
  <si>
    <t>Cena jednostkowa brutto</t>
  </si>
  <si>
    <t>Formularz cenowy - Dostawa artykułów spożywczych - Część 2</t>
  </si>
  <si>
    <t>Gruszki świeże,   bez uszkodzeń mechanicznych i  biologicznych</t>
  </si>
  <si>
    <t>Włoszczyzna , świeża, bez uszkodzeń mechanicznych i biologicznych, w pęczkach lub na tackach</t>
  </si>
  <si>
    <t>Papryka czerwona świeża bez uszkodzeń mechanicznych  i biologicznych</t>
  </si>
  <si>
    <t>Ogórki kiszone- kiszone w sposób naturalny bez zmian biologicznych, bez uszkodzeń mechanicznych, twarde, kiszone w sposób naturalny,zgodnie z normą PN-A-77701, zapach świeży, bez uszkodzeń mechanicznych,opakowanie w wiadrach plastikowych o wadze : 3 kg i 5 kg.</t>
  </si>
  <si>
    <t>Koperek świeży - zapach typowy bez zmian biologicznych, waga pęczka 0,25 kg, nać zielona, nie zwiędnięta, bez części pożółkłych, nie zeschnięta</t>
  </si>
  <si>
    <t>Stawka % VAT</t>
  </si>
  <si>
    <t>Wartość VAT</t>
  </si>
  <si>
    <t>Formularz cenowy - Dostawa artykułów mlecznych - Część 1</t>
  </si>
  <si>
    <t xml:space="preserve">Załącznik  nr  2.1 </t>
  </si>
  <si>
    <t>Ser żółty twardy  plastry (edamski, podlaski, gouda) kl.1 o zawartości tłuszczu od 22% do 26% lub w suchej masie 45%, bez dodatku oleju roslinnego, mleka w proszku, skrobi i sztucznych barwników</t>
  </si>
  <si>
    <t>Masło śmietankowe o zawartości tłuszczu min. 83%  bez oleju, bez dodatków roslinnych i konserwantów (kostka 200 g)</t>
  </si>
  <si>
    <t>Formularz cenowy - Dostawa mrożonek i ryb - Część 4</t>
  </si>
  <si>
    <t>Mieszanka kompotowa czteroskładnikowa (truskawka, śliwka, aronia, czarna porzeczka) owoce pestkowe wydrylowane w opakowaniu 2,5 kg TWARDZIK</t>
  </si>
  <si>
    <t>Wartość  brutto</t>
  </si>
  <si>
    <t>Fasola szparagowa zielona, cięta, bez cukru, bez konserwantów, bez laktozy,  w opakowaniu 2,5 kg TWARDZIK</t>
  </si>
  <si>
    <t>Pierogi z serem bez konserwantów, bez sztucznych barwników, bez wzmacniaczy smaku, w opakowaniu 2,5kg ROLMAX</t>
  </si>
  <si>
    <t>Kalafior różyczki, bez konserwantów, bez laktozy, w opakowaniu 2,5 kg TWARDZIK</t>
  </si>
  <si>
    <t>Knedle z owocami bez konserwantów, bez sztucznych barwników, bez wzmacniaczy smaku w opakowaniu 2,5 kg ROLMAX</t>
  </si>
  <si>
    <t>Ryba filet bez skóry  suchomrożony Miruna (0% glazury) ABRAMCZUK</t>
  </si>
  <si>
    <t>Bukiet warzyw kwiatowy: kalafior, marchew, brokuły w opakowaniu 2,5 kg TWARDZIK</t>
  </si>
  <si>
    <t>Mieszanka warzywna 7-składnikowa w składzie: marchew, fasola szparagowa, kalafior, groch zielony, pietruszka, seler, por,  w opakowaniu 2,5 kg TWARDZIK</t>
  </si>
  <si>
    <t>Kopytka ziemniaczane bez konserwantów, bez sztucznych barwników, bez wzmacniaczy smaku, w opakowaniu 2,5 kg ROLMAX</t>
  </si>
  <si>
    <t>Marchew z groszkiem bez konserwantów, w opakowaniu 2,5 kg TWARDZIK</t>
  </si>
  <si>
    <t>Marchewka mini , bez konserwantów, w opakowaniu 2,5 kg TWARDZIK</t>
  </si>
  <si>
    <t>Marchewka kostka , bez konserwantów, w opakowaniu 2,5 kg TWARDZIK</t>
  </si>
  <si>
    <t>Kluski śląskie bez konserwantów, bez sztucznych barwników, bez wzmacniaczy smaku,w opakowaniu 2,5 kg ROLMAX</t>
  </si>
  <si>
    <t>4.</t>
  </si>
  <si>
    <t>Filet rybny suchomrożony - DORSZ (ze skórą) 0% glukozy ABRAMCZUK</t>
  </si>
  <si>
    <t>Pyzy z mięsem , bez konserwantów, bez sztucznych barwników, bez wzmacniaczy smaku,  w opakowaniu 2,5kg ROLMAX</t>
  </si>
  <si>
    <t>Brokuł różyczki opk. 2,5 kg TWARDZIK</t>
  </si>
  <si>
    <t>Załącznik nr 2.3.</t>
  </si>
  <si>
    <t xml:space="preserve">Załacznik nr 2.4 </t>
  </si>
  <si>
    <t xml:space="preserve">Załącznik nr 2.2. </t>
  </si>
  <si>
    <t>Przyprawa papryka mielona ostra  (opakowanie 20g.) PRYMAT</t>
  </si>
  <si>
    <t>Płatki śniadaniowe zbożowe kukurydziane bezglutenowe bez dodatku cukru, obniżona zawartość soli i sodu  opakowanie 500 g. NESTLE</t>
  </si>
  <si>
    <t>Dżem owocowy o niskiej zawartości cukru - niskosłodzony min. 40 g owoców na 100 g produktu opakowanie  250g. ŁOWICZ</t>
  </si>
  <si>
    <t>Fasola konserwowa (czerwona) - puszka, opakowanie 400g BODUELLE</t>
  </si>
  <si>
    <t>Fasola drobna opakowanie 400 g. , bez obcych zapachów, bez zanieczyszczeń KROSS</t>
  </si>
  <si>
    <t>Groch łuskany , połówki,w 100 g - 0 g soli (opakowanie  400g), bez obcych zapachów, bez zanieczyszczeń KROSS</t>
  </si>
  <si>
    <t>Kukurydza konserwowa -puszka opakowanie  340g. BODUELLE</t>
  </si>
  <si>
    <t>Herbata owocowa (opak. 25 torebek), esencjonalny napar, wyczuwalny smak herbaty bez obcych zapachów, torebki opakowane oryginalnie SAGA</t>
  </si>
  <si>
    <t>Herbata czarna (opak. 100 torebek ), esencjonalny napar, wyczuwalny smak herbaty bez obcych zapachów, torebki opakowane oryginalnie LIPTON</t>
  </si>
  <si>
    <t>Jajka pakowane po 10 szt. rozmiar L</t>
  </si>
  <si>
    <t>Kakao naturalne, ciemne, opakowanie 80 g DECOMORENO</t>
  </si>
  <si>
    <t>Przecier pomidorowy klasyczny typu primo gusto lub równoważny, norma żywieniowa sól do 0,02g, opakowanie 500g PRIMO GUSTO</t>
  </si>
  <si>
    <t>Fasola konserwowa biała - puszka opakowanie 400g. BONDUELLE</t>
  </si>
  <si>
    <t>Przyprawa liść laurowy  opakowanie  6g.  PRYMAT</t>
  </si>
  <si>
    <t>Przyprawa majeranek otarty opakowanie  20g. PRYMAT</t>
  </si>
  <si>
    <t>Makaron do spaghettii  odpowiadający normom żywieniowym (sól 0,03g) opakowanie 500g. LUBELLA</t>
  </si>
  <si>
    <t>Makaron - świderki  bez dodatków i ulepszaczy odpowiadający jakościowo i składnikowo  Królewski opak.400g. LUBELLA</t>
  </si>
  <si>
    <t>Makaron kolanko bez ulepszaczy odpowiadający normom żywieniowym (sól 0,03g) opakowanie 500 g LUBELLA</t>
  </si>
  <si>
    <t xml:space="preserve">Makaron wstążka LUBELLA </t>
  </si>
  <si>
    <t>Makaron ziarnisty LUBELLA</t>
  </si>
  <si>
    <t>Zacierki opakowanie 250 g. BABKI REDZYŃSKIEJ</t>
  </si>
  <si>
    <t>Mąka pszenna typ 500  (opak. 1kg), konsystencja sypka, bez grudek, wilgotność nie większa niż 15% SZCZEPANKI</t>
  </si>
  <si>
    <t>Ocet  spirytusowy 10% butelka  0,5 l OCETIX</t>
  </si>
  <si>
    <t>Olej uniwersalny, z pierwszego tłoczenia,  filtrowany na zimno, z kwasami omega-3  butelka  1- litrowa KUJAWSKI</t>
  </si>
  <si>
    <t>Przyprawa papryka słodka mielona  opakowanie  20g. PRYMAT</t>
  </si>
  <si>
    <t>Przyprawa pieprz naturalny czarny ziarnisty opakowanie  20g. PRYMAT</t>
  </si>
  <si>
    <t>Przyprawa pieprz naturalny czarny mielony opakowanie  20g. PRYMAT</t>
  </si>
  <si>
    <t>Przyprawa pieprz ziołowy  opakowanie  20g. PRYMAT</t>
  </si>
  <si>
    <t>Kasza manna opak. 500 g KROSS</t>
  </si>
  <si>
    <t>Ryż biały (karton opakowanie  4x100g) paraboiled KROSS</t>
  </si>
  <si>
    <t>Ryż biały opakowanie 1 kg,  paraboiled KROSS</t>
  </si>
  <si>
    <t>Ciastka  8 zbóż (pszenica, ryż, gryka, owies, żyto,  sorgo, jęczmień, kukurydza, z żurawiną) opakowanie 30g SANTE</t>
  </si>
  <si>
    <t>Ogórki konserwowe opakowanie słoik o pojemności 960ml KRAKUS</t>
  </si>
  <si>
    <t>Ciastka biszkoptowe nadziewane opakowanie  30g LUBISIE</t>
  </si>
  <si>
    <t>Przyprawa cynamon opakowanie  15 g. PRYMAT</t>
  </si>
  <si>
    <t>Sok brzoskwiniowy  100% owoców, bez dodatku cukru i substancji słodzących, opakowanie 250ml TYMBARK</t>
  </si>
  <si>
    <t>Jabłka prażone szarlotka w słoiku o pojemności 900 g PROSPONA</t>
  </si>
  <si>
    <t>Pomidory krojone w sosie własnym odpowiadające normom żywieniowym sól 0,02g opakowanie 400 g. ROLNIK</t>
  </si>
  <si>
    <t>Czosnek granulowany opk. 20g PRYMAT</t>
  </si>
  <si>
    <t>Przyprawa zioła prowansalskie opakowanie 10g. PRYMAT</t>
  </si>
  <si>
    <t>Naturalna woda mineralna niegazowana  butelka plastikowa pojemność 0,5l SELENKA</t>
  </si>
  <si>
    <t>Przyprawa ziele angielskie  opakowanie 15 g. PRYMAT</t>
  </si>
  <si>
    <t>Kasza perłowa jęczmienna opakowanie karton 4x100 g. KROSS</t>
  </si>
  <si>
    <t>Kwasek cytrynowy opakowanie 18-20g. PRYMAT</t>
  </si>
  <si>
    <t>Chrzan  tarty naturalny słoik opakowanie 250 g. OCETIX</t>
  </si>
  <si>
    <t>Sok owocowy naturalny 100%  , w 100 ml 13 g cukru, bez substancji słodzących, w opakowaniach 200 ml. CYMES</t>
  </si>
  <si>
    <t>Bułka tarta opakowanie 500g POLKORM</t>
  </si>
  <si>
    <t>Masło klarowane 99,8% tłuszczu w 100g, opakow. 500 g</t>
  </si>
  <si>
    <t>Desesr czekoladowo-orzechowy zawartość cukru do 13opak. 100g MONTE</t>
  </si>
  <si>
    <t>Serek Danio</t>
  </si>
  <si>
    <t>Żurek  naturalnie kiszony zakwas w butelce plastikowej pojemność 0,5l KUJAWSKI</t>
  </si>
  <si>
    <t>Herbatniki  petit beurre</t>
  </si>
  <si>
    <t>Przyprawa bazylia otarta  opakowanie 10 g. PRYMAT</t>
  </si>
  <si>
    <t>Przyprawa oregano  opakowanie  10g. PRYMAT</t>
  </si>
  <si>
    <t>Przyprawa tymianek  opakowanie 20g. PRYMAT</t>
  </si>
  <si>
    <t>Majonez  o zawartości 63% tłuszczu opakowanie słoik 260 g. POMORSKI</t>
  </si>
  <si>
    <t>Kasza jęczmienna średnia  , bez zanieczyszczeń, bez obcych zapachów ,  opakowanie  1kg KROS</t>
  </si>
  <si>
    <t>Przyprawa curry   opakowanie  20g. PRYMAT</t>
  </si>
  <si>
    <t>Koncentrat pomidorowy 30% w 100g - 0,05 g soli (opakowanie 900 g) Włocławek</t>
  </si>
  <si>
    <t>Miód naturalny opakowanie  1,4kg  Baśniowa Pasieka</t>
  </si>
  <si>
    <t>Szczaw konserwowy, siekany opakowanie 350 g. ROLNIK</t>
  </si>
  <si>
    <t>Herbata czarna (opakowanie 100 g.) sypana, granulowana, esencjalny zapach, wyczuwalny smak herbaty, opakowanie oryginalne , w 100 ml 0,5 g białka LIPTON</t>
  </si>
  <si>
    <t>Sok owocowy  naturalny 100% opakowanie karton 1 l TYMBARK</t>
  </si>
  <si>
    <t>Fasola JAŚ duża 400 g KROSS</t>
  </si>
  <si>
    <t>Makaron (kluska lana) GOLIARAD opak. 500 g</t>
  </si>
  <si>
    <t>Ocet jabłkowy KAMIS 250 ml</t>
  </si>
  <si>
    <t>Przyprawa kurkuma   opakowanie  20g. PRYMAT</t>
  </si>
  <si>
    <t>koncentrat pomidorowy 30% w 100g - 0,05 g soli (opakowanie 190 g) Włocławek</t>
  </si>
  <si>
    <t>Kasza Kus kus (4x100g) MELVIT</t>
  </si>
  <si>
    <t>Syrop owocowy naturalny 100% zawierający nie więcej niż 10g cukru w 100g HERBAPOL  1 litr</t>
  </si>
  <si>
    <t>Makaron muszelki morskie bez ulepszaczy  opka, 400g LUBELLA</t>
  </si>
  <si>
    <t>Makaron kokardki bez ulepszaczy  opak. 400 g LUBELLA</t>
  </si>
  <si>
    <t>Makaron nitka  luksusowy wałkowany 5-jajeczny, w 100 g - 0,02 soli,  opakowanie 250 g. GOLIARD</t>
  </si>
  <si>
    <t>Makaron pióra bez ulepszaczy opak. 400g LUBELLA</t>
  </si>
  <si>
    <t>opak</t>
  </si>
  <si>
    <t>Formularz cenowy - Dostawa warzyw i owoców - Część 3</t>
  </si>
  <si>
    <t xml:space="preserve">                                            .........................................................................</t>
  </si>
  <si>
    <t>ZOS.271.31.2020.KS</t>
  </si>
  <si>
    <t>Ryba filet BIS SOLA ABRAMCZUK</t>
  </si>
  <si>
    <t>Szpinka krojony - opakowanie 1 kg TWARDZIK</t>
  </si>
  <si>
    <t>Truskawki opakowanie450 g  HORTEX</t>
  </si>
  <si>
    <t>Maliny opakowanie 450 g HORTEX</t>
  </si>
  <si>
    <t>Wiśnie opakowanie 450 g HORTEX</t>
  </si>
  <si>
    <t>Groszek konserwowy mrożony opakowanie 450 g HORTEX</t>
  </si>
  <si>
    <t>Cebula czerwona- dobrze  wysuszona bez szczypiorku , sortowana o jednakowej wielkości 5-8 cm. bez uszkodzeń mechanicznych, pakowana w worki raszlowe 10 kg.</t>
  </si>
  <si>
    <t>papryka zielona świeża bez uszkodzeń mechanicznych i bilogicznych</t>
  </si>
  <si>
    <t>papryka żółta świeża bez uszkodzeń mechanicznych i bilogicznych</t>
  </si>
  <si>
    <t xml:space="preserve">Śmietana 18% , węglowodany 3,6g, w tym cukry 3,6g, białko 2,5 g opakowanie 200g </t>
  </si>
  <si>
    <t>cukinia świeża bez uszkodzeń mechanicznych i biologicznych</t>
  </si>
  <si>
    <t>kabaczek świeży bez uszkodzeń mechanicznych i biologicznych</t>
  </si>
  <si>
    <t>bakłażan świeży bez uszkodzeń mechnicznych i biologicznych</t>
  </si>
  <si>
    <t>arbuz świeży wolny od uszkodzeń, bez zanieczyszczeń mechanicznych i biologicznych</t>
  </si>
  <si>
    <t>winogrona zielone, świeże, wolne od szkodników i uszkodzeń, bez zanieczyszczeń mechanicznych i biologicznych</t>
  </si>
  <si>
    <t>przyprawa pieprz koloroy ziarnisty opakowanie 20g, PRYMAT</t>
  </si>
  <si>
    <t>Mąka ziemniaczana opakowanie 1 kg konsystencja sypka bez grudek</t>
  </si>
  <si>
    <t>Lubczyk opakowanie 20g, PRYMAT</t>
  </si>
  <si>
    <t>Koperek suszony opakowanie 20g, PRYMAT</t>
  </si>
  <si>
    <t>Wafle ryżowe naturalne, opakowanie 100g</t>
  </si>
  <si>
    <t>Pałeczki kukurydziane</t>
  </si>
  <si>
    <t>Czekolada gorzka o zawartości minimum 70% miazgi kakaowej 100g</t>
  </si>
  <si>
    <t>przecier ogórkowy, opakowanie 350 g</t>
  </si>
  <si>
    <t>Makaron łazanki opakowanie 500 g LUBELLA</t>
  </si>
  <si>
    <t>Cukier puder, opakowanie 400g</t>
  </si>
  <si>
    <t>Kawa zbożowa, opakowanie 25szt.</t>
  </si>
  <si>
    <t>Proszek do pieczenia, opakowanie 30g DELECTA</t>
  </si>
  <si>
    <t>Cukier wanilinowy, opakowanie 30g DELECTA</t>
  </si>
  <si>
    <t>Kisiel, opakowanie 64g DELECTA</t>
  </si>
  <si>
    <t>Budyń, opakowanie 64g DELECTA</t>
  </si>
  <si>
    <t>Soda oczyszczona opakowanie 80g DELECTA</t>
  </si>
  <si>
    <t>Galaretka opakowanie 75g DELECTA</t>
  </si>
  <si>
    <t>Rodzynki sułtańskie, opakowanie 100g DELECTA</t>
  </si>
  <si>
    <t>Suszone śliwki, opakowanie 100g DELECTA</t>
  </si>
  <si>
    <t>Suszone morele, opakowanie 100g DELECTA</t>
  </si>
  <si>
    <t>Drożdże, opakowanie 100g BABUNI</t>
  </si>
  <si>
    <t>Śnieżka w proszku. Opakowanie 54g DELECTA</t>
  </si>
  <si>
    <t>Margaryna PALMA do pieczenia, opakowanie 250g</t>
  </si>
  <si>
    <t>Fasola konserwowa (biała) - puszka, opakowanie 400g BODUELLE</t>
  </si>
  <si>
    <t>Ciasta maślane, kruche, zawierające mleko, masło i zoża, opakowanie 50g</t>
  </si>
  <si>
    <t>Olejek wanilinowy DELECTA</t>
  </si>
  <si>
    <t>Mus owocowy opakowanie 100g</t>
  </si>
  <si>
    <t>ZSP.CH.MMB.271.76.21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</si>
</sst>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#,##0.00\ _z_ł"/>
    <numFmt numFmtId="168" formatCode="#,##0.00;[Red]#,##0.00"/>
    <numFmt numFmtId="169" formatCode="#,##0;[Red]#,##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</numFmts>
  <fonts count="43">
    <font>
      <sz val="10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right" vertical="center" indent="3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 indent="1"/>
    </xf>
    <xf numFmtId="166" fontId="0" fillId="0" borderId="11" xfId="0" applyNumberFormat="1" applyFont="1" applyBorder="1" applyAlignment="1">
      <alignment horizontal="right" vertical="center"/>
    </xf>
    <xf numFmtId="9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7" fontId="4" fillId="0" borderId="11" xfId="0" applyNumberFormat="1" applyFont="1" applyBorder="1" applyAlignment="1">
      <alignment vertical="center"/>
    </xf>
    <xf numFmtId="168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Alignment="1">
      <alignment horizontal="right" vertical="center" indent="3"/>
    </xf>
    <xf numFmtId="0" fontId="8" fillId="0" borderId="0" xfId="0" applyFont="1" applyAlignment="1">
      <alignment horizontal="right" vertical="center" indent="3"/>
    </xf>
    <xf numFmtId="0" fontId="5" fillId="0" borderId="0" xfId="0" applyFont="1" applyAlignment="1">
      <alignment/>
    </xf>
    <xf numFmtId="166" fontId="4" fillId="0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11" xfId="0" applyNumberFormat="1" applyFont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9" fontId="0" fillId="0" borderId="11" xfId="52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9" fontId="0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9" fontId="0" fillId="0" borderId="11" xfId="0" applyNumberFormat="1" applyFont="1" applyFill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/>
    </xf>
    <xf numFmtId="169" fontId="0" fillId="0" borderId="16" xfId="0" applyNumberFormat="1" applyFont="1" applyFill="1" applyBorder="1" applyAlignment="1">
      <alignment horizontal="center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167" fontId="0" fillId="0" borderId="12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6" fontId="4" fillId="0" borderId="14" xfId="0" applyNumberFormat="1" applyFont="1" applyFill="1" applyBorder="1" applyAlignment="1">
      <alignment horizontal="center" vertical="center"/>
    </xf>
    <xf numFmtId="9" fontId="0" fillId="0" borderId="18" xfId="0" applyNumberFormat="1" applyFont="1" applyBorder="1" applyAlignment="1">
      <alignment horizontal="center" vertical="center"/>
    </xf>
    <xf numFmtId="166" fontId="0" fillId="0" borderId="19" xfId="0" applyNumberFormat="1" applyFont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167" fontId="0" fillId="0" borderId="1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 horizontal="right" vertical="center"/>
    </xf>
    <xf numFmtId="2" fontId="0" fillId="0" borderId="17" xfId="0" applyNumberFormat="1" applyFont="1" applyBorder="1" applyAlignment="1">
      <alignment horizontal="right" vertical="center"/>
    </xf>
    <xf numFmtId="166" fontId="4" fillId="0" borderId="17" xfId="0" applyNumberFormat="1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167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indent="1"/>
    </xf>
    <xf numFmtId="166" fontId="4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right" vertical="center" indent="1"/>
    </xf>
    <xf numFmtId="166" fontId="4" fillId="0" borderId="17" xfId="0" applyNumberFormat="1" applyFont="1" applyFill="1" applyBorder="1" applyAlignment="1">
      <alignment horizontal="right" vertical="center"/>
    </xf>
    <xf numFmtId="166" fontId="0" fillId="0" borderId="17" xfId="0" applyNumberFormat="1" applyFont="1" applyBorder="1" applyAlignment="1">
      <alignment horizontal="right" vertical="center"/>
    </xf>
    <xf numFmtId="9" fontId="0" fillId="0" borderId="17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9" fontId="0" fillId="0" borderId="10" xfId="52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indent="1"/>
    </xf>
    <xf numFmtId="166" fontId="4" fillId="0" borderId="16" xfId="0" applyNumberFormat="1" applyFont="1" applyFill="1" applyBorder="1" applyAlignment="1">
      <alignment horizontal="right" vertical="center"/>
    </xf>
    <xf numFmtId="166" fontId="0" fillId="0" borderId="16" xfId="0" applyNumberFormat="1" applyFont="1" applyBorder="1" applyAlignment="1">
      <alignment horizontal="right" vertical="center"/>
    </xf>
    <xf numFmtId="9" fontId="0" fillId="0" borderId="16" xfId="52" applyBorder="1" applyAlignment="1">
      <alignment horizontal="center" vertical="center"/>
    </xf>
    <xf numFmtId="167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7" fontId="0" fillId="0" borderId="20" xfId="0" applyNumberFormat="1" applyFont="1" applyBorder="1" applyAlignment="1">
      <alignment horizontal="right" vertical="center"/>
    </xf>
    <xf numFmtId="167" fontId="0" fillId="0" borderId="21" xfId="0" applyNumberFormat="1" applyFont="1" applyBorder="1" applyAlignment="1">
      <alignment horizontal="right" vertical="center"/>
    </xf>
    <xf numFmtId="167" fontId="0" fillId="0" borderId="22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vertical="center"/>
    </xf>
    <xf numFmtId="167" fontId="4" fillId="0" borderId="23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horizontal="right" vertical="center"/>
    </xf>
    <xf numFmtId="166" fontId="4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wrapText="1"/>
    </xf>
    <xf numFmtId="9" fontId="0" fillId="0" borderId="15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43" fontId="4" fillId="0" borderId="16" xfId="0" applyNumberFormat="1" applyFont="1" applyFill="1" applyBorder="1" applyAlignment="1">
      <alignment horizontal="right" vertical="center"/>
    </xf>
    <xf numFmtId="43" fontId="4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67" fontId="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indent="1"/>
    </xf>
    <xf numFmtId="166" fontId="4" fillId="0" borderId="16" xfId="0" applyNumberFormat="1" applyFont="1" applyFill="1" applyBorder="1" applyAlignment="1">
      <alignment horizontal="right" vertical="center"/>
    </xf>
    <xf numFmtId="9" fontId="0" fillId="0" borderId="16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0" fillId="0" borderId="24" xfId="0" applyNumberFormat="1" applyFont="1" applyBorder="1" applyAlignment="1">
      <alignment horizontal="center" vertical="center"/>
    </xf>
    <xf numFmtId="166" fontId="0" fillId="0" borderId="17" xfId="0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24" xfId="0" applyNumberFormat="1" applyFont="1" applyBorder="1" applyAlignment="1">
      <alignment horizontal="center" vertical="center"/>
    </xf>
    <xf numFmtId="9" fontId="0" fillId="0" borderId="17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24" xfId="0" applyNumberFormat="1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7" fontId="0" fillId="0" borderId="24" xfId="0" applyNumberFormat="1" applyFont="1" applyBorder="1" applyAlignment="1">
      <alignment horizontal="center" vertical="center"/>
    </xf>
    <xf numFmtId="167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9" fontId="0" fillId="0" borderId="10" xfId="0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169" fontId="0" fillId="0" borderId="17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7" fontId="0" fillId="0" borderId="10" xfId="0" applyNumberFormat="1" applyFont="1" applyBorder="1" applyAlignment="1">
      <alignment horizontal="right" vertical="center"/>
    </xf>
    <xf numFmtId="167" fontId="0" fillId="0" borderId="24" xfId="0" applyNumberFormat="1" applyFont="1" applyBorder="1" applyAlignment="1">
      <alignment horizontal="right" vertical="center"/>
    </xf>
    <xf numFmtId="167" fontId="0" fillId="0" borderId="17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right" vertical="center"/>
    </xf>
    <xf numFmtId="166" fontId="4" fillId="0" borderId="24" xfId="0" applyNumberFormat="1" applyFont="1" applyFill="1" applyBorder="1" applyAlignment="1">
      <alignment horizontal="right" vertical="center"/>
    </xf>
    <xf numFmtId="166" fontId="4" fillId="0" borderId="17" xfId="0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0" fillId="0" borderId="24" xfId="0" applyNumberFormat="1" applyFont="1" applyBorder="1" applyAlignment="1">
      <alignment horizontal="right" vertical="center"/>
    </xf>
    <xf numFmtId="166" fontId="0" fillId="0" borderId="17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="95" zoomScaleNormal="95" zoomScaleSheetLayoutView="95" zoomScalePageLayoutView="0" workbookViewId="0" topLeftCell="A1">
      <selection activeCell="B2" sqref="B2"/>
    </sheetView>
  </sheetViews>
  <sheetFormatPr defaultColWidth="9.140625" defaultRowHeight="12.75"/>
  <cols>
    <col min="1" max="1" width="10.8515625" style="0" customWidth="1"/>
    <col min="2" max="2" width="91.00390625" style="0" customWidth="1"/>
    <col min="3" max="3" width="10.7109375" style="0" customWidth="1"/>
    <col min="4" max="4" width="8.421875" style="0" customWidth="1"/>
    <col min="5" max="5" width="10.421875" style="0" customWidth="1"/>
    <col min="6" max="6" width="12.28125" style="0" customWidth="1"/>
    <col min="7" max="8" width="10.28125" style="0" customWidth="1"/>
    <col min="9" max="9" width="16.7109375" style="0" customWidth="1"/>
  </cols>
  <sheetData>
    <row r="1" spans="6:9" ht="15">
      <c r="F1" s="1"/>
      <c r="G1" s="1"/>
      <c r="H1" s="1"/>
      <c r="I1" s="2"/>
    </row>
    <row r="2" spans="2:9" ht="13.5">
      <c r="B2" t="s">
        <v>216</v>
      </c>
      <c r="F2" s="40" t="s">
        <v>71</v>
      </c>
      <c r="G2" s="1"/>
      <c r="H2" s="1"/>
      <c r="I2" s="1"/>
    </row>
    <row r="3" spans="6:9" ht="12.75">
      <c r="F3" s="1"/>
      <c r="G3" s="1"/>
      <c r="H3" s="1"/>
      <c r="I3" s="1"/>
    </row>
    <row r="4" spans="6:9" ht="12.75">
      <c r="F4" s="1"/>
      <c r="G4" s="1"/>
      <c r="H4" s="1"/>
      <c r="I4" s="1"/>
    </row>
    <row r="5" ht="15">
      <c r="B5" s="3"/>
    </row>
    <row r="6" ht="15">
      <c r="B6" s="3" t="s">
        <v>0</v>
      </c>
    </row>
    <row r="7" ht="15">
      <c r="B7" s="3" t="s">
        <v>1</v>
      </c>
    </row>
    <row r="10" spans="1:9" ht="15" customHeight="1">
      <c r="A10" s="129" t="s">
        <v>70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ht="15" customHeight="1"/>
    <row r="13" spans="1:9" ht="4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76</v>
      </c>
      <c r="G13" s="4" t="s">
        <v>68</v>
      </c>
      <c r="H13" s="4" t="s">
        <v>69</v>
      </c>
      <c r="I13" s="114" t="s">
        <v>6</v>
      </c>
    </row>
    <row r="14" spans="1:9" ht="34.5" customHeight="1">
      <c r="A14" s="6">
        <v>1</v>
      </c>
      <c r="B14" s="26" t="s">
        <v>59</v>
      </c>
      <c r="C14" s="6" t="s">
        <v>8</v>
      </c>
      <c r="D14" s="8">
        <v>50</v>
      </c>
      <c r="E14" s="42"/>
      <c r="F14" s="9"/>
      <c r="G14" s="10">
        <v>0.05</v>
      </c>
      <c r="H14" s="46"/>
      <c r="I14" s="115"/>
    </row>
    <row r="15" spans="1:9" ht="49.5" customHeight="1">
      <c r="A15" s="6">
        <v>2</v>
      </c>
      <c r="B15" s="26" t="s">
        <v>53</v>
      </c>
      <c r="C15" s="6" t="s">
        <v>8</v>
      </c>
      <c r="D15" s="8">
        <v>200</v>
      </c>
      <c r="E15" s="42"/>
      <c r="F15" s="9"/>
      <c r="G15" s="10">
        <v>0.05</v>
      </c>
      <c r="H15" s="46"/>
      <c r="I15" s="115"/>
    </row>
    <row r="16" spans="1:9" ht="27" customHeight="1">
      <c r="A16" s="6">
        <v>3</v>
      </c>
      <c r="B16" s="26" t="s">
        <v>72</v>
      </c>
      <c r="C16" s="6" t="s">
        <v>10</v>
      </c>
      <c r="D16" s="8">
        <v>35</v>
      </c>
      <c r="E16" s="42"/>
      <c r="F16" s="9"/>
      <c r="G16" s="10">
        <v>0.05</v>
      </c>
      <c r="H16" s="46"/>
      <c r="I16" s="115"/>
    </row>
    <row r="17" spans="1:9" ht="34.5" customHeight="1">
      <c r="A17" s="6">
        <v>4</v>
      </c>
      <c r="B17" s="26" t="s">
        <v>58</v>
      </c>
      <c r="C17" s="27" t="s">
        <v>9</v>
      </c>
      <c r="D17" s="8">
        <v>300</v>
      </c>
      <c r="E17" s="42"/>
      <c r="F17" s="9"/>
      <c r="G17" s="10">
        <v>0.05</v>
      </c>
      <c r="H17" s="46"/>
      <c r="I17" s="115"/>
    </row>
    <row r="18" spans="1:9" ht="34.5" customHeight="1">
      <c r="A18" s="6">
        <v>5</v>
      </c>
      <c r="B18" s="26" t="s">
        <v>73</v>
      </c>
      <c r="C18" s="27" t="s">
        <v>8</v>
      </c>
      <c r="D18" s="8">
        <v>150</v>
      </c>
      <c r="E18" s="42"/>
      <c r="F18" s="9"/>
      <c r="G18" s="10">
        <v>0.05</v>
      </c>
      <c r="H18" s="46"/>
      <c r="I18" s="115"/>
    </row>
    <row r="19" spans="1:9" ht="33" customHeight="1">
      <c r="A19" s="50">
        <v>6</v>
      </c>
      <c r="B19" s="56"/>
      <c r="C19" s="86"/>
      <c r="D19" s="87"/>
      <c r="E19" s="88"/>
      <c r="F19" s="89"/>
      <c r="G19" s="23"/>
      <c r="H19" s="92"/>
      <c r="I19" s="116"/>
    </row>
    <row r="20" spans="1:9" ht="28.5" customHeight="1">
      <c r="A20" s="54">
        <v>7</v>
      </c>
      <c r="B20" s="132" t="s">
        <v>60</v>
      </c>
      <c r="C20" s="133" t="s">
        <v>8</v>
      </c>
      <c r="D20" s="134">
        <v>50</v>
      </c>
      <c r="E20" s="135"/>
      <c r="F20" s="106"/>
      <c r="G20" s="136">
        <v>0.05</v>
      </c>
      <c r="H20" s="130"/>
      <c r="I20" s="131"/>
    </row>
    <row r="21" spans="1:9" ht="1.5" customHeight="1" hidden="1">
      <c r="A21" s="54">
        <v>13</v>
      </c>
      <c r="B21" s="132"/>
      <c r="C21" s="133"/>
      <c r="D21" s="134"/>
      <c r="E21" s="135"/>
      <c r="F21" s="106"/>
      <c r="G21" s="136"/>
      <c r="H21" s="130"/>
      <c r="I21" s="131"/>
    </row>
    <row r="22" spans="1:9" ht="24.75" customHeight="1">
      <c r="A22" s="54">
        <v>8</v>
      </c>
      <c r="B22" s="102" t="s">
        <v>183</v>
      </c>
      <c r="C22" s="103" t="s">
        <v>8</v>
      </c>
      <c r="D22" s="104">
        <v>50</v>
      </c>
      <c r="E22" s="105"/>
      <c r="F22" s="106"/>
      <c r="G22" s="55">
        <v>0.05</v>
      </c>
      <c r="H22" s="111"/>
      <c r="I22" s="108"/>
    </row>
    <row r="23" spans="1:9" ht="24" customHeight="1">
      <c r="A23" s="51">
        <v>9</v>
      </c>
      <c r="B23" s="94" t="s">
        <v>25</v>
      </c>
      <c r="C23" s="95" t="s">
        <v>8</v>
      </c>
      <c r="D23" s="96">
        <v>100</v>
      </c>
      <c r="E23" s="97"/>
      <c r="F23" s="98"/>
      <c r="G23" s="99">
        <v>0.05</v>
      </c>
      <c r="H23" s="93"/>
      <c r="I23" s="117"/>
    </row>
    <row r="24" spans="1:9" ht="30.75" customHeight="1" hidden="1">
      <c r="A24" s="6">
        <v>14</v>
      </c>
      <c r="B24" s="26"/>
      <c r="C24" s="27"/>
      <c r="D24" s="8"/>
      <c r="E24" s="42"/>
      <c r="F24" s="9"/>
      <c r="G24" s="10"/>
      <c r="H24" s="46"/>
      <c r="I24" s="115"/>
    </row>
    <row r="25" spans="1:9" ht="27" customHeight="1" hidden="1">
      <c r="A25" s="50">
        <v>17</v>
      </c>
      <c r="B25" s="26"/>
      <c r="C25" s="27"/>
      <c r="D25" s="8"/>
      <c r="E25" s="42"/>
      <c r="F25" s="9"/>
      <c r="G25" s="10"/>
      <c r="H25" s="46"/>
      <c r="I25" s="115"/>
    </row>
    <row r="26" spans="1:9" ht="30" customHeight="1">
      <c r="A26" s="113">
        <v>10</v>
      </c>
      <c r="B26" s="112" t="s">
        <v>54</v>
      </c>
      <c r="C26" s="6" t="s">
        <v>10</v>
      </c>
      <c r="D26" s="8">
        <v>200</v>
      </c>
      <c r="E26" s="42"/>
      <c r="F26" s="9"/>
      <c r="G26" s="10">
        <v>0.05</v>
      </c>
      <c r="H26" s="46"/>
      <c r="I26" s="115"/>
    </row>
    <row r="27" spans="1:9" ht="15.75" customHeight="1">
      <c r="A27" s="13"/>
      <c r="C27" s="12"/>
      <c r="E27" s="25"/>
      <c r="F27" s="12"/>
      <c r="G27" s="12"/>
      <c r="H27" s="43"/>
      <c r="I27" s="12"/>
    </row>
    <row r="28" spans="1:9" ht="15.75" customHeight="1">
      <c r="A28" s="16"/>
      <c r="B28" s="37"/>
      <c r="F28" s="14"/>
      <c r="G28" s="15"/>
      <c r="H28" s="44"/>
      <c r="I28" s="118"/>
    </row>
    <row r="29" spans="1:9" ht="3.75" customHeight="1">
      <c r="A29" s="16"/>
      <c r="F29" s="16"/>
      <c r="G29" s="16"/>
      <c r="H29" s="16"/>
      <c r="I29" s="16"/>
    </row>
    <row r="30" spans="2:9" ht="3.75" customHeight="1" hidden="1">
      <c r="B30" s="16"/>
      <c r="C30" s="16"/>
      <c r="D30" s="16"/>
      <c r="E30" s="16"/>
      <c r="F30" s="16"/>
      <c r="G30" s="16"/>
      <c r="H30" s="16"/>
      <c r="I30" s="16"/>
    </row>
    <row r="31" ht="15" customHeight="1" hidden="1"/>
    <row r="32" ht="15" customHeight="1" hidden="1"/>
    <row r="33" ht="15" customHeight="1" hidden="1"/>
    <row r="34" ht="15" customHeight="1" hidden="1"/>
    <row r="35" ht="0.75" customHeight="1" hidden="1"/>
    <row r="36" spans="3:4" ht="15.75" customHeight="1">
      <c r="C36" s="17"/>
      <c r="D36" s="17" t="s">
        <v>11</v>
      </c>
    </row>
    <row r="37" spans="3:9" ht="13.5" customHeight="1">
      <c r="C37" s="18" t="s">
        <v>12</v>
      </c>
      <c r="E37" t="s">
        <v>13</v>
      </c>
      <c r="I37" s="18"/>
    </row>
  </sheetData>
  <sheetProtection selectLockedCells="1" selectUnlockedCells="1"/>
  <mergeCells count="8">
    <mergeCell ref="A10:I11"/>
    <mergeCell ref="H20:H21"/>
    <mergeCell ref="I20:I21"/>
    <mergeCell ref="B20:B21"/>
    <mergeCell ref="C20:C21"/>
    <mergeCell ref="D20:D21"/>
    <mergeCell ref="E20:E21"/>
    <mergeCell ref="G20:G21"/>
  </mergeCells>
  <printOptions horizontalCentered="1"/>
  <pageMargins left="0.7875" right="0.7875" top="0.5201388888888889" bottom="0.98402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74">
      <selection activeCell="E110" sqref="E110"/>
    </sheetView>
  </sheetViews>
  <sheetFormatPr defaultColWidth="9.140625" defaultRowHeight="12.75"/>
  <cols>
    <col min="1" max="1" width="10.8515625" style="0" customWidth="1"/>
    <col min="2" max="2" width="100.8515625" style="0" customWidth="1"/>
    <col min="3" max="3" width="11.140625" style="0" customWidth="1"/>
    <col min="4" max="4" width="8.57421875" style="0" customWidth="1"/>
    <col min="5" max="5" width="10.7109375" style="0" customWidth="1"/>
    <col min="6" max="6" width="12.421875" style="0" customWidth="1"/>
    <col min="7" max="8" width="10.140625" style="0" customWidth="1"/>
    <col min="9" max="9" width="14.8515625" style="0" customWidth="1"/>
  </cols>
  <sheetData>
    <row r="1" spans="6:9" ht="12.75">
      <c r="F1" s="39" t="s">
        <v>95</v>
      </c>
      <c r="G1" s="1"/>
      <c r="H1" s="1"/>
      <c r="I1" s="1"/>
    </row>
    <row r="2" spans="2:9" ht="12.75">
      <c r="B2" t="s">
        <v>173</v>
      </c>
      <c r="F2" s="1"/>
      <c r="G2" s="1"/>
      <c r="H2" s="1"/>
      <c r="I2" s="1"/>
    </row>
    <row r="3" ht="15">
      <c r="B3" s="3"/>
    </row>
    <row r="4" ht="15">
      <c r="B4" s="3" t="s">
        <v>0</v>
      </c>
    </row>
    <row r="5" ht="15">
      <c r="B5" s="3" t="s">
        <v>1</v>
      </c>
    </row>
    <row r="8" spans="1:9" ht="15" customHeight="1">
      <c r="A8" s="129" t="s">
        <v>62</v>
      </c>
      <c r="B8" s="129"/>
      <c r="C8" s="129"/>
      <c r="D8" s="129"/>
      <c r="E8" s="129"/>
      <c r="F8" s="129"/>
      <c r="G8" s="129"/>
      <c r="H8" s="129"/>
      <c r="I8" s="129"/>
    </row>
    <row r="9" spans="1:9" ht="15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ht="15" customHeight="1"/>
    <row r="11" spans="1:9" ht="45" customHeight="1">
      <c r="A11" s="4" t="s">
        <v>2</v>
      </c>
      <c r="B11" s="4" t="s">
        <v>3</v>
      </c>
      <c r="C11" s="4" t="s">
        <v>4</v>
      </c>
      <c r="D11" s="4" t="s">
        <v>5</v>
      </c>
      <c r="E11" s="4" t="s">
        <v>61</v>
      </c>
      <c r="F11" s="4" t="s">
        <v>7</v>
      </c>
      <c r="G11" s="4" t="s">
        <v>68</v>
      </c>
      <c r="H11" s="4" t="s">
        <v>69</v>
      </c>
      <c r="I11" s="5" t="s">
        <v>6</v>
      </c>
    </row>
    <row r="12" spans="1:9" ht="21" customHeight="1">
      <c r="A12" s="50">
        <v>1</v>
      </c>
      <c r="B12" s="56" t="s">
        <v>148</v>
      </c>
      <c r="C12" s="50" t="s">
        <v>8</v>
      </c>
      <c r="D12" s="59">
        <f>10+40+120+200</f>
        <v>370</v>
      </c>
      <c r="E12" s="60">
        <v>1.3</v>
      </c>
      <c r="F12" s="61">
        <f aca="true" t="shared" si="0" ref="F12:F19">D12*E12</f>
        <v>481</v>
      </c>
      <c r="G12" s="23">
        <v>0.23</v>
      </c>
      <c r="H12" s="58">
        <f aca="true" t="shared" si="1" ref="H12:H19">(F12*G12)/(100%+G12)</f>
        <v>89.94308943089432</v>
      </c>
      <c r="I12" s="62">
        <f aca="true" t="shared" si="2" ref="I12:I19">F12-H12</f>
        <v>391.0569105691057</v>
      </c>
    </row>
    <row r="13" spans="1:9" ht="25.5" customHeight="1">
      <c r="A13" s="6">
        <v>2</v>
      </c>
      <c r="B13" s="28" t="s">
        <v>149</v>
      </c>
      <c r="C13" s="20" t="s">
        <v>8</v>
      </c>
      <c r="D13" s="63">
        <f>200+100+40+10</f>
        <v>350</v>
      </c>
      <c r="E13" s="64">
        <v>1.3</v>
      </c>
      <c r="F13" s="65">
        <f t="shared" si="0"/>
        <v>455</v>
      </c>
      <c r="G13" s="10">
        <v>0.23</v>
      </c>
      <c r="H13" s="45">
        <f t="shared" si="1"/>
        <v>85.08130081300814</v>
      </c>
      <c r="I13" s="66">
        <f t="shared" si="2"/>
        <v>369.91869918699183</v>
      </c>
    </row>
    <row r="14" spans="1:9" ht="18.75" customHeight="1">
      <c r="A14" s="6">
        <v>3</v>
      </c>
      <c r="B14" s="28" t="s">
        <v>150</v>
      </c>
      <c r="C14" s="20" t="s">
        <v>14</v>
      </c>
      <c r="D14" s="63">
        <f>10+200</f>
        <v>210</v>
      </c>
      <c r="E14" s="64">
        <v>1.3</v>
      </c>
      <c r="F14" s="65">
        <f t="shared" si="0"/>
        <v>273</v>
      </c>
      <c r="G14" s="10">
        <v>0.23</v>
      </c>
      <c r="H14" s="45">
        <f t="shared" si="1"/>
        <v>51.04878048780488</v>
      </c>
      <c r="I14" s="66">
        <f t="shared" si="2"/>
        <v>221.9512195121951</v>
      </c>
    </row>
    <row r="15" spans="1:9" ht="22.5" customHeight="1">
      <c r="A15" s="6">
        <v>4</v>
      </c>
      <c r="B15" s="28" t="s">
        <v>151</v>
      </c>
      <c r="C15" s="20" t="s">
        <v>8</v>
      </c>
      <c r="D15" s="63">
        <f>20+20+60+100</f>
        <v>200</v>
      </c>
      <c r="E15" s="64">
        <v>3.69</v>
      </c>
      <c r="F15" s="65">
        <f t="shared" si="0"/>
        <v>738</v>
      </c>
      <c r="G15" s="10">
        <v>0.08</v>
      </c>
      <c r="H15" s="45">
        <f t="shared" si="1"/>
        <v>54.666666666666664</v>
      </c>
      <c r="I15" s="66">
        <f t="shared" si="2"/>
        <v>683.3333333333334</v>
      </c>
    </row>
    <row r="16" spans="1:9" ht="18.75" customHeight="1">
      <c r="A16" s="50">
        <v>5</v>
      </c>
      <c r="B16" s="57" t="s">
        <v>96</v>
      </c>
      <c r="C16" s="50" t="s">
        <v>8</v>
      </c>
      <c r="D16" s="59">
        <f>200+100+30+10</f>
        <v>340</v>
      </c>
      <c r="E16" s="60">
        <v>1.3</v>
      </c>
      <c r="F16" s="61">
        <f t="shared" si="0"/>
        <v>442</v>
      </c>
      <c r="G16" s="23">
        <v>0.23</v>
      </c>
      <c r="H16" s="58">
        <f t="shared" si="1"/>
        <v>82.65040650406505</v>
      </c>
      <c r="I16" s="62">
        <f t="shared" si="2"/>
        <v>359.349593495935</v>
      </c>
    </row>
    <row r="17" spans="1:9" ht="22.5" customHeight="1">
      <c r="A17" s="6">
        <v>6</v>
      </c>
      <c r="B17" s="19" t="s">
        <v>15</v>
      </c>
      <c r="C17" s="20" t="s">
        <v>10</v>
      </c>
      <c r="D17" s="63">
        <f>100+250+150+350</f>
        <v>850</v>
      </c>
      <c r="E17" s="64">
        <v>2.84</v>
      </c>
      <c r="F17" s="65">
        <f t="shared" si="0"/>
        <v>2414</v>
      </c>
      <c r="G17" s="10">
        <v>0.08</v>
      </c>
      <c r="H17" s="45">
        <f t="shared" si="1"/>
        <v>178.8148148148148</v>
      </c>
      <c r="I17" s="66">
        <f t="shared" si="2"/>
        <v>2235.185185185185</v>
      </c>
    </row>
    <row r="18" spans="1:9" ht="29.25" customHeight="1">
      <c r="A18" s="6">
        <v>7</v>
      </c>
      <c r="B18" s="28" t="s">
        <v>97</v>
      </c>
      <c r="C18" s="29" t="s">
        <v>14</v>
      </c>
      <c r="D18" s="63">
        <f>50+40+40</f>
        <v>130</v>
      </c>
      <c r="E18" s="64">
        <v>9.27</v>
      </c>
      <c r="F18" s="65">
        <f t="shared" si="0"/>
        <v>1205.1</v>
      </c>
      <c r="G18" s="10">
        <v>0.05</v>
      </c>
      <c r="H18" s="45">
        <f t="shared" si="1"/>
        <v>57.38571428571428</v>
      </c>
      <c r="I18" s="66">
        <f t="shared" si="2"/>
        <v>1147.7142857142856</v>
      </c>
    </row>
    <row r="19" spans="1:9" ht="25.5" customHeight="1">
      <c r="A19" s="149">
        <v>8</v>
      </c>
      <c r="B19" s="152" t="s">
        <v>98</v>
      </c>
      <c r="C19" s="149" t="s">
        <v>14</v>
      </c>
      <c r="D19" s="155">
        <f>30+120+20</f>
        <v>170</v>
      </c>
      <c r="E19" s="158">
        <v>4</v>
      </c>
      <c r="F19" s="137">
        <f t="shared" si="0"/>
        <v>680</v>
      </c>
      <c r="G19" s="140">
        <v>0.05</v>
      </c>
      <c r="H19" s="143">
        <f t="shared" si="1"/>
        <v>32.38095238095238</v>
      </c>
      <c r="I19" s="146">
        <f t="shared" si="2"/>
        <v>647.6190476190476</v>
      </c>
    </row>
    <row r="20" spans="1:9" ht="15.75" customHeight="1" hidden="1">
      <c r="A20" s="150"/>
      <c r="B20" s="153"/>
      <c r="C20" s="150"/>
      <c r="D20" s="156"/>
      <c r="E20" s="159"/>
      <c r="F20" s="138"/>
      <c r="G20" s="141"/>
      <c r="H20" s="144"/>
      <c r="I20" s="147"/>
    </row>
    <row r="21" spans="1:9" ht="15.75" customHeight="1" hidden="1">
      <c r="A21" s="151"/>
      <c r="B21" s="154"/>
      <c r="C21" s="151"/>
      <c r="D21" s="157"/>
      <c r="E21" s="160"/>
      <c r="F21" s="139"/>
      <c r="G21" s="142"/>
      <c r="H21" s="145"/>
      <c r="I21" s="148"/>
    </row>
    <row r="22" spans="1:9" ht="22.5" customHeight="1" hidden="1">
      <c r="A22" s="6"/>
      <c r="B22" s="28"/>
      <c r="C22" s="20"/>
      <c r="D22" s="63"/>
      <c r="E22" s="64"/>
      <c r="F22" s="65"/>
      <c r="G22" s="10"/>
      <c r="H22" s="45"/>
      <c r="I22" s="66"/>
    </row>
    <row r="23" spans="1:9" ht="22.5" customHeight="1">
      <c r="A23" s="6">
        <v>9</v>
      </c>
      <c r="B23" s="28" t="s">
        <v>100</v>
      </c>
      <c r="C23" s="20" t="s">
        <v>16</v>
      </c>
      <c r="D23" s="63">
        <f>40+100</f>
        <v>140</v>
      </c>
      <c r="E23" s="64">
        <v>2.86</v>
      </c>
      <c r="F23" s="65">
        <f aca="true" t="shared" si="3" ref="F23:F28">D23*E23</f>
        <v>400.4</v>
      </c>
      <c r="G23" s="10">
        <v>0.05</v>
      </c>
      <c r="H23" s="45">
        <f aca="true" t="shared" si="4" ref="H23:H28">(F23*G23)/(100%+G23)</f>
        <v>19.066666666666666</v>
      </c>
      <c r="I23" s="66">
        <f aca="true" t="shared" si="5" ref="I23:I28">F23-H23</f>
        <v>381.3333333333333</v>
      </c>
    </row>
    <row r="24" spans="1:9" ht="24.75" customHeight="1">
      <c r="A24" s="6">
        <v>10</v>
      </c>
      <c r="B24" s="28" t="s">
        <v>101</v>
      </c>
      <c r="C24" s="29" t="s">
        <v>8</v>
      </c>
      <c r="D24" s="63">
        <f>30+120+200+40</f>
        <v>390</v>
      </c>
      <c r="E24" s="64">
        <v>1.3</v>
      </c>
      <c r="F24" s="65">
        <f t="shared" si="3"/>
        <v>507</v>
      </c>
      <c r="G24" s="10">
        <v>0.05</v>
      </c>
      <c r="H24" s="45">
        <f t="shared" si="4"/>
        <v>24.142857142857142</v>
      </c>
      <c r="I24" s="66">
        <f t="shared" si="5"/>
        <v>482.85714285714283</v>
      </c>
    </row>
    <row r="25" spans="1:9" ht="22.5" customHeight="1">
      <c r="A25" s="6">
        <v>11</v>
      </c>
      <c r="B25" s="28" t="s">
        <v>102</v>
      </c>
      <c r="C25" s="20" t="s">
        <v>8</v>
      </c>
      <c r="D25" s="63">
        <f>80+50</f>
        <v>130</v>
      </c>
      <c r="E25" s="64">
        <v>3.72</v>
      </c>
      <c r="F25" s="65">
        <f t="shared" si="3"/>
        <v>483.6</v>
      </c>
      <c r="G25" s="10">
        <v>0.05</v>
      </c>
      <c r="H25" s="45">
        <f t="shared" si="4"/>
        <v>23.028571428571432</v>
      </c>
      <c r="I25" s="66">
        <f t="shared" si="5"/>
        <v>460.5714285714286</v>
      </c>
    </row>
    <row r="26" spans="1:9" ht="26.25">
      <c r="A26" s="6">
        <v>12</v>
      </c>
      <c r="B26" s="28" t="s">
        <v>103</v>
      </c>
      <c r="C26" s="29" t="s">
        <v>8</v>
      </c>
      <c r="D26" s="63">
        <f>3+20+60+100</f>
        <v>183</v>
      </c>
      <c r="E26" s="64">
        <v>4.49</v>
      </c>
      <c r="F26" s="65">
        <f t="shared" si="3"/>
        <v>821.6700000000001</v>
      </c>
      <c r="G26" s="10">
        <v>0.23</v>
      </c>
      <c r="H26" s="45">
        <f t="shared" si="4"/>
        <v>153.64560975609757</v>
      </c>
      <c r="I26" s="66">
        <f t="shared" si="5"/>
        <v>668.0243902439025</v>
      </c>
    </row>
    <row r="27" spans="1:9" ht="30" customHeight="1">
      <c r="A27" s="6">
        <v>13</v>
      </c>
      <c r="B27" s="28" t="s">
        <v>104</v>
      </c>
      <c r="C27" s="20" t="s">
        <v>8</v>
      </c>
      <c r="D27" s="63">
        <f>80+10</f>
        <v>90</v>
      </c>
      <c r="E27" s="64">
        <v>13.18</v>
      </c>
      <c r="F27" s="65">
        <f t="shared" si="3"/>
        <v>1186.2</v>
      </c>
      <c r="G27" s="10">
        <v>0.23</v>
      </c>
      <c r="H27" s="45">
        <f t="shared" si="4"/>
        <v>221.809756097561</v>
      </c>
      <c r="I27" s="66">
        <f t="shared" si="5"/>
        <v>964.390243902439</v>
      </c>
    </row>
    <row r="28" spans="1:9" ht="20.25" customHeight="1">
      <c r="A28" s="50">
        <v>14</v>
      </c>
      <c r="B28" s="52" t="s">
        <v>106</v>
      </c>
      <c r="C28" s="50" t="s">
        <v>8</v>
      </c>
      <c r="D28" s="59">
        <f>15+15</f>
        <v>30</v>
      </c>
      <c r="E28" s="60">
        <v>3.7</v>
      </c>
      <c r="F28" s="61">
        <f t="shared" si="3"/>
        <v>111</v>
      </c>
      <c r="G28" s="23">
        <v>0.23</v>
      </c>
      <c r="H28" s="58">
        <f t="shared" si="4"/>
        <v>20.75609756097561</v>
      </c>
      <c r="I28" s="62">
        <f t="shared" si="5"/>
        <v>90.2439024390244</v>
      </c>
    </row>
    <row r="29" spans="1:9" ht="21.75" customHeight="1">
      <c r="A29" s="50">
        <v>15</v>
      </c>
      <c r="B29" s="52" t="s">
        <v>152</v>
      </c>
      <c r="C29" s="50" t="s">
        <v>10</v>
      </c>
      <c r="D29" s="59">
        <f>10+30+15</f>
        <v>55</v>
      </c>
      <c r="E29" s="60">
        <v>2.26</v>
      </c>
      <c r="F29" s="61">
        <f>D29*E29</f>
        <v>124.29999999999998</v>
      </c>
      <c r="G29" s="23">
        <v>0.05</v>
      </c>
      <c r="H29" s="58">
        <f>(F29*G29)/(100%+G29)</f>
        <v>5.9190476190476184</v>
      </c>
      <c r="I29" s="62">
        <f aca="true" t="shared" si="6" ref="I29:I37">F29-H29</f>
        <v>118.38095238095237</v>
      </c>
    </row>
    <row r="30" spans="1:9" ht="30.75" customHeight="1">
      <c r="A30" s="6">
        <v>16</v>
      </c>
      <c r="B30" s="28" t="s">
        <v>215</v>
      </c>
      <c r="C30" s="29" t="s">
        <v>8</v>
      </c>
      <c r="D30" s="63">
        <v>1000</v>
      </c>
      <c r="E30" s="64">
        <v>2</v>
      </c>
      <c r="F30" s="65">
        <f>D30*E30</f>
        <v>2000</v>
      </c>
      <c r="G30" s="10">
        <v>0.05</v>
      </c>
      <c r="H30" s="45">
        <f>(F30*G30)/(100%+G30)</f>
        <v>95.23809523809524</v>
      </c>
      <c r="I30" s="66">
        <f t="shared" si="6"/>
        <v>1904.7619047619048</v>
      </c>
    </row>
    <row r="31" spans="1:9" ht="23.25" customHeight="1">
      <c r="A31" s="6">
        <v>17</v>
      </c>
      <c r="B31" s="28" t="s">
        <v>153</v>
      </c>
      <c r="C31" s="20" t="s">
        <v>8</v>
      </c>
      <c r="D31" s="63">
        <f>20</f>
        <v>20</v>
      </c>
      <c r="E31" s="64">
        <v>1.3</v>
      </c>
      <c r="F31" s="65">
        <f aca="true" t="shared" si="7" ref="F31:F36">D31*E31</f>
        <v>26</v>
      </c>
      <c r="G31" s="10">
        <v>0.23</v>
      </c>
      <c r="H31" s="45">
        <f aca="true" t="shared" si="8" ref="H31:H36">(F31*G31)/(100%+G31)</f>
        <v>4.861788617886179</v>
      </c>
      <c r="I31" s="66">
        <f t="shared" si="6"/>
        <v>21.13821138211382</v>
      </c>
    </row>
    <row r="32" spans="1:9" ht="21" customHeight="1">
      <c r="A32" s="6">
        <v>18</v>
      </c>
      <c r="B32" s="28" t="s">
        <v>162</v>
      </c>
      <c r="C32" s="20" t="s">
        <v>8</v>
      </c>
      <c r="D32" s="63">
        <f>4</f>
        <v>4</v>
      </c>
      <c r="E32" s="64">
        <v>1.3</v>
      </c>
      <c r="F32" s="65">
        <f t="shared" si="7"/>
        <v>5.2</v>
      </c>
      <c r="G32" s="10">
        <v>0.23</v>
      </c>
      <c r="H32" s="45">
        <f t="shared" si="8"/>
        <v>0.9723577235772359</v>
      </c>
      <c r="I32" s="66">
        <f t="shared" si="6"/>
        <v>4.227642276422764</v>
      </c>
    </row>
    <row r="33" spans="1:9" ht="24.75" customHeight="1">
      <c r="A33" s="6">
        <v>19</v>
      </c>
      <c r="B33" s="28" t="s">
        <v>164</v>
      </c>
      <c r="C33" s="20" t="s">
        <v>8</v>
      </c>
      <c r="D33" s="63">
        <f>30</f>
        <v>30</v>
      </c>
      <c r="E33" s="64">
        <v>3.74</v>
      </c>
      <c r="F33" s="65">
        <f t="shared" si="7"/>
        <v>112.2</v>
      </c>
      <c r="G33" s="10">
        <v>0.05</v>
      </c>
      <c r="H33" s="45">
        <f t="shared" si="8"/>
        <v>5.3428571428571425</v>
      </c>
      <c r="I33" s="66">
        <f t="shared" si="6"/>
        <v>106.85714285714286</v>
      </c>
    </row>
    <row r="34" spans="1:9" ht="26.25" customHeight="1">
      <c r="A34" s="6">
        <v>20</v>
      </c>
      <c r="B34" s="28" t="s">
        <v>161</v>
      </c>
      <c r="C34" s="20" t="s">
        <v>8</v>
      </c>
      <c r="D34" s="63">
        <f>15+10</f>
        <v>25</v>
      </c>
      <c r="E34" s="64">
        <v>9</v>
      </c>
      <c r="F34" s="65">
        <f t="shared" si="7"/>
        <v>225</v>
      </c>
      <c r="G34" s="10">
        <v>0.08</v>
      </c>
      <c r="H34" s="45">
        <f t="shared" si="8"/>
        <v>16.666666666666664</v>
      </c>
      <c r="I34" s="66">
        <f t="shared" si="6"/>
        <v>208.33333333333334</v>
      </c>
    </row>
    <row r="35" spans="1:9" ht="18.75" customHeight="1">
      <c r="A35" s="6">
        <v>21</v>
      </c>
      <c r="B35" s="28" t="s">
        <v>108</v>
      </c>
      <c r="C35" s="20" t="s">
        <v>8</v>
      </c>
      <c r="D35" s="63">
        <f>50+80</f>
        <v>130</v>
      </c>
      <c r="E35" s="64">
        <v>2.55</v>
      </c>
      <c r="F35" s="65">
        <f t="shared" si="7"/>
        <v>331.5</v>
      </c>
      <c r="G35" s="10">
        <v>0.23</v>
      </c>
      <c r="H35" s="45">
        <f t="shared" si="8"/>
        <v>61.987804878048784</v>
      </c>
      <c r="I35" s="66">
        <f t="shared" si="6"/>
        <v>269.5121951219512</v>
      </c>
    </row>
    <row r="36" spans="1:9" ht="19.5" customHeight="1">
      <c r="A36" s="54">
        <v>22</v>
      </c>
      <c r="B36" s="53" t="s">
        <v>109</v>
      </c>
      <c r="C36" s="54" t="s">
        <v>8</v>
      </c>
      <c r="D36" s="67">
        <f>200+10+50+100</f>
        <v>360</v>
      </c>
      <c r="E36" s="68">
        <v>1.3</v>
      </c>
      <c r="F36" s="69">
        <f t="shared" si="7"/>
        <v>468</v>
      </c>
      <c r="G36" s="55">
        <v>0.23</v>
      </c>
      <c r="H36" s="49">
        <f t="shared" si="8"/>
        <v>87.51219512195122</v>
      </c>
      <c r="I36" s="70">
        <f t="shared" si="6"/>
        <v>380.4878048780488</v>
      </c>
    </row>
    <row r="37" spans="1:9" ht="23.25" customHeight="1">
      <c r="A37" s="6">
        <v>23</v>
      </c>
      <c r="B37" s="28" t="s">
        <v>110</v>
      </c>
      <c r="C37" s="20" t="s">
        <v>8</v>
      </c>
      <c r="D37" s="63">
        <f>200+250+60+10</f>
        <v>520</v>
      </c>
      <c r="E37" s="64">
        <v>1.3</v>
      </c>
      <c r="F37" s="65">
        <f>D37*E37</f>
        <v>676</v>
      </c>
      <c r="G37" s="10">
        <v>0.23</v>
      </c>
      <c r="H37" s="45">
        <f>(F37*G37)/(100%+G37)</f>
        <v>126.40650406504066</v>
      </c>
      <c r="I37" s="66">
        <f t="shared" si="6"/>
        <v>549.5934959349594</v>
      </c>
    </row>
    <row r="38" spans="1:9" ht="16.5" customHeight="1">
      <c r="A38" s="6">
        <v>24</v>
      </c>
      <c r="B38" s="28" t="s">
        <v>168</v>
      </c>
      <c r="C38" s="20" t="s">
        <v>8</v>
      </c>
      <c r="D38" s="63">
        <f>80+150+250+50</f>
        <v>530</v>
      </c>
      <c r="E38" s="64">
        <v>2.93</v>
      </c>
      <c r="F38" s="65">
        <f aca="true" t="shared" si="9" ref="F38:F85">D38*E38</f>
        <v>1552.9</v>
      </c>
      <c r="G38" s="10">
        <v>0.23</v>
      </c>
      <c r="H38" s="45">
        <f aca="true" t="shared" si="10" ref="H38:H85">(F38*G38)/(100%+G38)</f>
        <v>290.379674796748</v>
      </c>
      <c r="I38" s="66">
        <f aca="true" t="shared" si="11" ref="I38:I85">F38-H38</f>
        <v>1262.520325203252</v>
      </c>
    </row>
    <row r="39" spans="1:9" ht="21.75" customHeight="1">
      <c r="A39" s="6">
        <v>25</v>
      </c>
      <c r="B39" s="28" t="s">
        <v>111</v>
      </c>
      <c r="C39" s="29" t="s">
        <v>8</v>
      </c>
      <c r="D39" s="63">
        <f>50+120+30</f>
        <v>200</v>
      </c>
      <c r="E39" s="64">
        <v>3.34</v>
      </c>
      <c r="F39" s="65">
        <f t="shared" si="9"/>
        <v>668</v>
      </c>
      <c r="G39" s="10">
        <v>0.23</v>
      </c>
      <c r="H39" s="45">
        <f t="shared" si="10"/>
        <v>124.91056910569107</v>
      </c>
      <c r="I39" s="66">
        <f t="shared" si="11"/>
        <v>543.089430894309</v>
      </c>
    </row>
    <row r="40" spans="1:9" ht="18.75" customHeight="1">
      <c r="A40" s="6">
        <v>26</v>
      </c>
      <c r="B40" s="28" t="s">
        <v>113</v>
      </c>
      <c r="C40" s="29" t="s">
        <v>8</v>
      </c>
      <c r="D40" s="63">
        <f>170+200</f>
        <v>370</v>
      </c>
      <c r="E40" s="64">
        <v>3.34</v>
      </c>
      <c r="F40" s="65">
        <f t="shared" si="9"/>
        <v>1235.8</v>
      </c>
      <c r="G40" s="10">
        <v>0.23</v>
      </c>
      <c r="H40" s="45">
        <f t="shared" si="10"/>
        <v>231.08455284552844</v>
      </c>
      <c r="I40" s="66">
        <f t="shared" si="11"/>
        <v>1004.7154471544716</v>
      </c>
    </row>
    <row r="41" spans="1:9" ht="28.5" customHeight="1">
      <c r="A41" s="6">
        <v>27</v>
      </c>
      <c r="B41" s="28" t="s">
        <v>112</v>
      </c>
      <c r="C41" s="29" t="s">
        <v>8</v>
      </c>
      <c r="D41" s="63">
        <f>50+500+100+320</f>
        <v>970</v>
      </c>
      <c r="E41" s="64">
        <v>3.34</v>
      </c>
      <c r="F41" s="65">
        <f t="shared" si="9"/>
        <v>3239.7999999999997</v>
      </c>
      <c r="G41" s="10">
        <v>0.23</v>
      </c>
      <c r="H41" s="45">
        <f t="shared" si="10"/>
        <v>605.8162601626017</v>
      </c>
      <c r="I41" s="66">
        <f t="shared" si="11"/>
        <v>2633.983739837398</v>
      </c>
    </row>
    <row r="42" spans="1:9" ht="28.5" customHeight="1">
      <c r="A42" s="6">
        <v>28</v>
      </c>
      <c r="B42" s="28" t="s">
        <v>114</v>
      </c>
      <c r="C42" s="29" t="s">
        <v>8</v>
      </c>
      <c r="D42" s="63">
        <f>100</f>
        <v>100</v>
      </c>
      <c r="E42" s="64">
        <v>3.34</v>
      </c>
      <c r="F42" s="65">
        <f t="shared" si="9"/>
        <v>334</v>
      </c>
      <c r="G42" s="10">
        <v>0.23</v>
      </c>
      <c r="H42" s="45">
        <f t="shared" si="10"/>
        <v>62.455284552845534</v>
      </c>
      <c r="I42" s="66">
        <f t="shared" si="11"/>
        <v>271.5447154471545</v>
      </c>
    </row>
    <row r="43" spans="1:9" ht="28.5" customHeight="1">
      <c r="A43" s="6">
        <v>29</v>
      </c>
      <c r="B43" s="28" t="s">
        <v>115</v>
      </c>
      <c r="C43" s="29" t="s">
        <v>8</v>
      </c>
      <c r="D43" s="63">
        <f>20</f>
        <v>20</v>
      </c>
      <c r="E43" s="64">
        <v>3.34</v>
      </c>
      <c r="F43" s="65">
        <f t="shared" si="9"/>
        <v>66.8</v>
      </c>
      <c r="G43" s="10">
        <v>0.23</v>
      </c>
      <c r="H43" s="45">
        <f t="shared" si="10"/>
        <v>12.491056910569107</v>
      </c>
      <c r="I43" s="66">
        <f t="shared" si="11"/>
        <v>54.30894308943089</v>
      </c>
    </row>
    <row r="44" spans="1:9" ht="28.5" customHeight="1">
      <c r="A44" s="6">
        <v>30</v>
      </c>
      <c r="B44" s="28" t="s">
        <v>160</v>
      </c>
      <c r="C44" s="29" t="s">
        <v>8</v>
      </c>
      <c r="D44" s="63">
        <f>40</f>
        <v>40</v>
      </c>
      <c r="E44" s="64">
        <v>3.96</v>
      </c>
      <c r="F44" s="65">
        <f t="shared" si="9"/>
        <v>158.4</v>
      </c>
      <c r="G44" s="10">
        <v>0.23</v>
      </c>
      <c r="H44" s="45">
        <f t="shared" si="10"/>
        <v>29.619512195121953</v>
      </c>
      <c r="I44" s="66">
        <f t="shared" si="11"/>
        <v>128.78048780487805</v>
      </c>
    </row>
    <row r="45" spans="1:9" ht="28.5" customHeight="1">
      <c r="A45" s="6">
        <v>31</v>
      </c>
      <c r="B45" s="28" t="s">
        <v>167</v>
      </c>
      <c r="C45" s="29" t="s">
        <v>14</v>
      </c>
      <c r="D45" s="63">
        <f>300</f>
        <v>300</v>
      </c>
      <c r="E45" s="64">
        <v>3.51</v>
      </c>
      <c r="F45" s="65">
        <f t="shared" si="9"/>
        <v>1053</v>
      </c>
      <c r="G45" s="10">
        <v>0.23</v>
      </c>
      <c r="H45" s="45">
        <f t="shared" si="10"/>
        <v>196.90243902439025</v>
      </c>
      <c r="I45" s="66">
        <f t="shared" si="11"/>
        <v>856.0975609756098</v>
      </c>
    </row>
    <row r="46" spans="1:9" ht="28.5" customHeight="1">
      <c r="A46" s="6">
        <v>32</v>
      </c>
      <c r="B46" s="28" t="s">
        <v>169</v>
      </c>
      <c r="C46" s="29" t="s">
        <v>8</v>
      </c>
      <c r="D46" s="63">
        <f>200</f>
        <v>200</v>
      </c>
      <c r="E46" s="64">
        <v>3.34</v>
      </c>
      <c r="F46" s="65">
        <f t="shared" si="9"/>
        <v>668</v>
      </c>
      <c r="G46" s="10">
        <v>0.23</v>
      </c>
      <c r="H46" s="45">
        <f t="shared" si="10"/>
        <v>124.91056910569107</v>
      </c>
      <c r="I46" s="66">
        <f t="shared" si="11"/>
        <v>543.089430894309</v>
      </c>
    </row>
    <row r="47" spans="1:9" ht="28.5" customHeight="1">
      <c r="A47" s="6">
        <v>33</v>
      </c>
      <c r="B47" s="28" t="s">
        <v>166</v>
      </c>
      <c r="C47" s="29" t="s">
        <v>8</v>
      </c>
      <c r="D47" s="63">
        <f>50+200</f>
        <v>250</v>
      </c>
      <c r="E47" s="64">
        <v>3.34</v>
      </c>
      <c r="F47" s="65">
        <f t="shared" si="9"/>
        <v>835</v>
      </c>
      <c r="G47" s="10">
        <v>0.23</v>
      </c>
      <c r="H47" s="45">
        <f t="shared" si="10"/>
        <v>156.13821138211384</v>
      </c>
      <c r="I47" s="66">
        <f t="shared" si="11"/>
        <v>678.8617886178862</v>
      </c>
    </row>
    <row r="48" spans="1:9" ht="23.25" customHeight="1">
      <c r="A48" s="6">
        <v>34</v>
      </c>
      <c r="B48" s="28" t="s">
        <v>116</v>
      </c>
      <c r="C48" s="29" t="s">
        <v>8</v>
      </c>
      <c r="D48" s="63">
        <f>150+250+60</f>
        <v>460</v>
      </c>
      <c r="E48" s="64">
        <v>1.86</v>
      </c>
      <c r="F48" s="65">
        <f t="shared" si="9"/>
        <v>855.6</v>
      </c>
      <c r="G48" s="10">
        <v>0.23</v>
      </c>
      <c r="H48" s="45">
        <f t="shared" si="10"/>
        <v>159.99024390243903</v>
      </c>
      <c r="I48" s="66">
        <f t="shared" si="11"/>
        <v>695.609756097561</v>
      </c>
    </row>
    <row r="49" spans="1:9" ht="21.75" customHeight="1">
      <c r="A49" s="6">
        <v>35</v>
      </c>
      <c r="B49" s="28" t="s">
        <v>131</v>
      </c>
      <c r="C49" s="29" t="s">
        <v>8</v>
      </c>
      <c r="D49" s="63">
        <f>600+1000+2000</f>
        <v>3600</v>
      </c>
      <c r="E49" s="64">
        <v>1.41</v>
      </c>
      <c r="F49" s="65">
        <f t="shared" si="9"/>
        <v>5076</v>
      </c>
      <c r="G49" s="10">
        <v>0.23</v>
      </c>
      <c r="H49" s="45">
        <f t="shared" si="10"/>
        <v>949.1707317073171</v>
      </c>
      <c r="I49" s="66">
        <f t="shared" si="11"/>
        <v>4126.829268292683</v>
      </c>
    </row>
    <row r="50" spans="1:9" ht="24.75" customHeight="1">
      <c r="A50" s="6">
        <v>36</v>
      </c>
      <c r="B50" s="19" t="s">
        <v>117</v>
      </c>
      <c r="C50" s="20" t="s">
        <v>10</v>
      </c>
      <c r="D50" s="63">
        <f>300+300+400+110</f>
        <v>1110</v>
      </c>
      <c r="E50" s="64">
        <v>2.21</v>
      </c>
      <c r="F50" s="65">
        <f t="shared" si="9"/>
        <v>2453.1</v>
      </c>
      <c r="G50" s="10">
        <v>0.23</v>
      </c>
      <c r="H50" s="45">
        <f t="shared" si="10"/>
        <v>458.70975609756096</v>
      </c>
      <c r="I50" s="66">
        <f t="shared" si="11"/>
        <v>1994.390243902439</v>
      </c>
    </row>
    <row r="51" spans="1:9" ht="22.5" customHeight="1">
      <c r="A51" s="6">
        <v>37</v>
      </c>
      <c r="B51" s="28" t="s">
        <v>155</v>
      </c>
      <c r="C51" s="20" t="s">
        <v>14</v>
      </c>
      <c r="D51" s="63">
        <f>32+40+30</f>
        <v>102</v>
      </c>
      <c r="E51" s="64">
        <v>32.13</v>
      </c>
      <c r="F51" s="65">
        <f t="shared" si="9"/>
        <v>3277.26</v>
      </c>
      <c r="G51" s="10">
        <v>0.23</v>
      </c>
      <c r="H51" s="45">
        <f t="shared" si="10"/>
        <v>612.8209756097561</v>
      </c>
      <c r="I51" s="66">
        <f t="shared" si="11"/>
        <v>2664.439024390244</v>
      </c>
    </row>
    <row r="52" spans="1:9" ht="21" customHeight="1">
      <c r="A52" s="6">
        <v>38</v>
      </c>
      <c r="B52" s="35" t="s">
        <v>118</v>
      </c>
      <c r="C52" s="20" t="s">
        <v>8</v>
      </c>
      <c r="D52" s="63">
        <f>20+40+10+10</f>
        <v>80</v>
      </c>
      <c r="E52" s="64">
        <v>2.03</v>
      </c>
      <c r="F52" s="65">
        <f t="shared" si="9"/>
        <v>162.39999999999998</v>
      </c>
      <c r="G52" s="10">
        <v>0.23</v>
      </c>
      <c r="H52" s="45">
        <f t="shared" si="10"/>
        <v>30.367479674796744</v>
      </c>
      <c r="I52" s="66">
        <f t="shared" si="11"/>
        <v>132.03252032520322</v>
      </c>
    </row>
    <row r="53" spans="1:9" ht="26.25" customHeight="1">
      <c r="A53" s="6">
        <v>39</v>
      </c>
      <c r="B53" s="35" t="s">
        <v>119</v>
      </c>
      <c r="C53" s="20" t="s">
        <v>8</v>
      </c>
      <c r="D53" s="63">
        <f>110+120+200+150</f>
        <v>580</v>
      </c>
      <c r="E53" s="64">
        <v>7.46</v>
      </c>
      <c r="F53" s="65">
        <f t="shared" si="9"/>
        <v>4326.8</v>
      </c>
      <c r="G53" s="10">
        <v>0.23</v>
      </c>
      <c r="H53" s="45">
        <f t="shared" si="10"/>
        <v>809.0764227642277</v>
      </c>
      <c r="I53" s="66">
        <f t="shared" si="11"/>
        <v>3517.7235772357726</v>
      </c>
    </row>
    <row r="54" spans="1:9" ht="22.5" customHeight="1">
      <c r="A54" s="6">
        <v>40</v>
      </c>
      <c r="B54" s="28" t="s">
        <v>120</v>
      </c>
      <c r="C54" s="20" t="s">
        <v>8</v>
      </c>
      <c r="D54" s="63">
        <f>200+50+80+80</f>
        <v>410</v>
      </c>
      <c r="E54" s="64">
        <v>1.3</v>
      </c>
      <c r="F54" s="65">
        <f t="shared" si="9"/>
        <v>533</v>
      </c>
      <c r="G54" s="10">
        <v>0.23</v>
      </c>
      <c r="H54" s="45">
        <f>(F54*G54)/(100%+G54)</f>
        <v>99.66666666666667</v>
      </c>
      <c r="I54" s="66">
        <f t="shared" si="11"/>
        <v>433.3333333333333</v>
      </c>
    </row>
    <row r="55" spans="1:9" ht="24.75" customHeight="1">
      <c r="A55" s="6">
        <v>41</v>
      </c>
      <c r="B55" s="28" t="s">
        <v>121</v>
      </c>
      <c r="C55" s="20" t="s">
        <v>8</v>
      </c>
      <c r="D55" s="63">
        <f>30+60+100+200</f>
        <v>390</v>
      </c>
      <c r="E55" s="64">
        <v>1.3</v>
      </c>
      <c r="F55" s="65">
        <f t="shared" si="9"/>
        <v>507</v>
      </c>
      <c r="G55" s="10">
        <v>0.23</v>
      </c>
      <c r="H55" s="45">
        <f t="shared" si="10"/>
        <v>94.8048780487805</v>
      </c>
      <c r="I55" s="66">
        <f t="shared" si="11"/>
        <v>412.1951219512195</v>
      </c>
    </row>
    <row r="56" spans="1:9" ht="26.25" customHeight="1">
      <c r="A56" s="6">
        <v>42</v>
      </c>
      <c r="B56" s="28" t="s">
        <v>122</v>
      </c>
      <c r="C56" s="20" t="s">
        <v>8</v>
      </c>
      <c r="D56" s="63">
        <f>200+200+100+30</f>
        <v>530</v>
      </c>
      <c r="E56" s="64">
        <v>1.3</v>
      </c>
      <c r="F56" s="65">
        <f t="shared" si="9"/>
        <v>689</v>
      </c>
      <c r="G56" s="10">
        <v>0.23</v>
      </c>
      <c r="H56" s="45">
        <f t="shared" si="10"/>
        <v>128.83739837398375</v>
      </c>
      <c r="I56" s="66">
        <f t="shared" si="11"/>
        <v>560.1626016260162</v>
      </c>
    </row>
    <row r="57" spans="1:9" ht="25.5" customHeight="1">
      <c r="A57" s="6">
        <v>43</v>
      </c>
      <c r="B57" s="34" t="s">
        <v>123</v>
      </c>
      <c r="C57" s="29" t="s">
        <v>8</v>
      </c>
      <c r="D57" s="63">
        <f>50+40+100+100</f>
        <v>290</v>
      </c>
      <c r="E57" s="64">
        <v>1.3</v>
      </c>
      <c r="F57" s="65">
        <f>D57*E57</f>
        <v>377</v>
      </c>
      <c r="G57" s="10">
        <v>0.23</v>
      </c>
      <c r="H57" s="45">
        <f>(F57*G57)/(100%+G57)</f>
        <v>70.4959349593496</v>
      </c>
      <c r="I57" s="66">
        <f>F57-H57</f>
        <v>306.5040650406504</v>
      </c>
    </row>
    <row r="58" spans="1:9" ht="27.75" customHeight="1">
      <c r="A58" s="6">
        <v>44</v>
      </c>
      <c r="B58" s="34" t="s">
        <v>126</v>
      </c>
      <c r="C58" s="29" t="s">
        <v>10</v>
      </c>
      <c r="D58" s="63">
        <f>20</f>
        <v>20</v>
      </c>
      <c r="E58" s="64">
        <v>3.53</v>
      </c>
      <c r="F58" s="65">
        <f t="shared" si="9"/>
        <v>70.6</v>
      </c>
      <c r="G58" s="10">
        <v>0.23</v>
      </c>
      <c r="H58" s="45">
        <f t="shared" si="10"/>
        <v>13.201626016260162</v>
      </c>
      <c r="I58" s="66">
        <f t="shared" si="11"/>
        <v>57.39837398373983</v>
      </c>
    </row>
    <row r="59" spans="1:9" ht="24.75" customHeight="1">
      <c r="A59" s="6">
        <v>45</v>
      </c>
      <c r="B59" s="28" t="s">
        <v>125</v>
      </c>
      <c r="C59" s="20" t="s">
        <v>8</v>
      </c>
      <c r="D59" s="63">
        <f>30+220+500+100</f>
        <v>850</v>
      </c>
      <c r="E59" s="60">
        <v>1.91</v>
      </c>
      <c r="F59" s="65">
        <f t="shared" si="9"/>
        <v>1623.5</v>
      </c>
      <c r="G59" s="10">
        <v>0.23</v>
      </c>
      <c r="H59" s="45">
        <f t="shared" si="10"/>
        <v>303.58130081300817</v>
      </c>
      <c r="I59" s="66">
        <f t="shared" si="11"/>
        <v>1319.918699186992</v>
      </c>
    </row>
    <row r="60" spans="1:9" ht="28.5" customHeight="1">
      <c r="A60" s="6">
        <v>46</v>
      </c>
      <c r="B60" s="32" t="s">
        <v>127</v>
      </c>
      <c r="C60" s="33" t="s">
        <v>8</v>
      </c>
      <c r="D60" s="63">
        <f>200+200+30</f>
        <v>430</v>
      </c>
      <c r="E60" s="60">
        <v>1.58</v>
      </c>
      <c r="F60" s="65">
        <f t="shared" si="9"/>
        <v>679.4</v>
      </c>
      <c r="G60" s="10">
        <v>0.23</v>
      </c>
      <c r="H60" s="45">
        <f t="shared" si="10"/>
        <v>127.04227642276423</v>
      </c>
      <c r="I60" s="66">
        <f t="shared" si="11"/>
        <v>552.3577235772358</v>
      </c>
    </row>
    <row r="61" spans="1:9" ht="24.75" customHeight="1">
      <c r="A61" s="6">
        <v>47</v>
      </c>
      <c r="B61" s="32" t="s">
        <v>147</v>
      </c>
      <c r="C61" s="33" t="s">
        <v>8</v>
      </c>
      <c r="D61" s="63">
        <f>600+200</f>
        <v>800</v>
      </c>
      <c r="E61" s="60">
        <v>0.85</v>
      </c>
      <c r="F61" s="65">
        <f t="shared" si="9"/>
        <v>680</v>
      </c>
      <c r="G61" s="10">
        <v>0.23</v>
      </c>
      <c r="H61" s="45">
        <f t="shared" si="10"/>
        <v>127.15447154471545</v>
      </c>
      <c r="I61" s="66">
        <f t="shared" si="11"/>
        <v>552.8455284552846</v>
      </c>
    </row>
    <row r="62" spans="1:9" ht="27.75" customHeight="1">
      <c r="A62" s="6">
        <v>48</v>
      </c>
      <c r="B62" s="32" t="s">
        <v>129</v>
      </c>
      <c r="C62" s="33" t="s">
        <v>8</v>
      </c>
      <c r="D62" s="63">
        <f>100</f>
        <v>100</v>
      </c>
      <c r="E62" s="60">
        <v>1.13</v>
      </c>
      <c r="F62" s="65">
        <f t="shared" si="9"/>
        <v>112.99999999999999</v>
      </c>
      <c r="G62" s="10">
        <v>0.23</v>
      </c>
      <c r="H62" s="45">
        <f t="shared" si="10"/>
        <v>21.130081300813007</v>
      </c>
      <c r="I62" s="66">
        <f t="shared" si="11"/>
        <v>91.86991869918698</v>
      </c>
    </row>
    <row r="63" spans="1:9" ht="27.75" customHeight="1">
      <c r="A63" s="6">
        <v>49</v>
      </c>
      <c r="B63" s="32" t="s">
        <v>213</v>
      </c>
      <c r="C63" s="33" t="s">
        <v>14</v>
      </c>
      <c r="D63" s="63">
        <v>60</v>
      </c>
      <c r="E63" s="60">
        <v>1.56</v>
      </c>
      <c r="F63" s="65">
        <f t="shared" si="9"/>
        <v>93.60000000000001</v>
      </c>
      <c r="G63" s="10">
        <v>0.23</v>
      </c>
      <c r="H63" s="45">
        <f t="shared" si="10"/>
        <v>17.502439024390245</v>
      </c>
      <c r="I63" s="66">
        <f t="shared" si="11"/>
        <v>76.09756097560977</v>
      </c>
    </row>
    <row r="64" spans="1:9" ht="25.5" customHeight="1">
      <c r="A64" s="6">
        <v>50</v>
      </c>
      <c r="B64" s="32" t="s">
        <v>55</v>
      </c>
      <c r="C64" s="33" t="s">
        <v>8</v>
      </c>
      <c r="D64" s="63">
        <f>200</f>
        <v>200</v>
      </c>
      <c r="E64" s="60">
        <v>1.56</v>
      </c>
      <c r="F64" s="65">
        <f t="shared" si="9"/>
        <v>312</v>
      </c>
      <c r="G64" s="10">
        <v>0.23</v>
      </c>
      <c r="H64" s="45">
        <f t="shared" si="10"/>
        <v>58.34146341463415</v>
      </c>
      <c r="I64" s="66">
        <f t="shared" si="11"/>
        <v>253.65853658536585</v>
      </c>
    </row>
    <row r="65" spans="1:9" ht="24.75" customHeight="1">
      <c r="A65" s="6">
        <v>51</v>
      </c>
      <c r="B65" s="32" t="s">
        <v>130</v>
      </c>
      <c r="C65" s="33" t="s">
        <v>8</v>
      </c>
      <c r="D65" s="63">
        <f>40+30+15+10</f>
        <v>95</v>
      </c>
      <c r="E65" s="60">
        <v>1.3</v>
      </c>
      <c r="F65" s="65">
        <f t="shared" si="9"/>
        <v>123.5</v>
      </c>
      <c r="G65" s="10">
        <v>0.23</v>
      </c>
      <c r="H65" s="45">
        <f t="shared" si="10"/>
        <v>23.09349593495935</v>
      </c>
      <c r="I65" s="66">
        <f t="shared" si="11"/>
        <v>100.40650406504065</v>
      </c>
    </row>
    <row r="66" spans="1:9" ht="29.25" customHeight="1">
      <c r="A66" s="6">
        <v>52</v>
      </c>
      <c r="B66" s="32" t="s">
        <v>128</v>
      </c>
      <c r="C66" s="33" t="s">
        <v>14</v>
      </c>
      <c r="D66" s="63">
        <f>10+30+40+20</f>
        <v>100</v>
      </c>
      <c r="E66" s="60">
        <v>6.05</v>
      </c>
      <c r="F66" s="65">
        <f t="shared" si="9"/>
        <v>605</v>
      </c>
      <c r="G66" s="10">
        <v>0.08</v>
      </c>
      <c r="H66" s="45">
        <f t="shared" si="10"/>
        <v>44.81481481481481</v>
      </c>
      <c r="I66" s="66">
        <f>F66-H66</f>
        <v>560.1851851851852</v>
      </c>
    </row>
    <row r="67" spans="1:9" ht="28.5" customHeight="1">
      <c r="A67" s="6">
        <v>53</v>
      </c>
      <c r="B67" s="32" t="s">
        <v>124</v>
      </c>
      <c r="C67" s="33" t="s">
        <v>8</v>
      </c>
      <c r="D67" s="63">
        <f>15+5</f>
        <v>20</v>
      </c>
      <c r="E67" s="60">
        <v>1.47</v>
      </c>
      <c r="F67" s="65">
        <f t="shared" si="9"/>
        <v>29.4</v>
      </c>
      <c r="G67" s="10">
        <v>0.05</v>
      </c>
      <c r="H67" s="45">
        <f>(F67*G67)/(100%+G67)</f>
        <v>1.4</v>
      </c>
      <c r="I67" s="66">
        <f t="shared" si="11"/>
        <v>28</v>
      </c>
    </row>
    <row r="68" spans="1:9" ht="27" customHeight="1">
      <c r="A68" s="6">
        <v>54</v>
      </c>
      <c r="B68" s="32" t="s">
        <v>156</v>
      </c>
      <c r="C68" s="33" t="s">
        <v>8</v>
      </c>
      <c r="D68" s="63">
        <f>30+30+150+10</f>
        <v>220</v>
      </c>
      <c r="E68" s="60">
        <v>2.89</v>
      </c>
      <c r="F68" s="65">
        <f t="shared" si="9"/>
        <v>635.8000000000001</v>
      </c>
      <c r="G68" s="10">
        <v>0.08</v>
      </c>
      <c r="H68" s="45">
        <f t="shared" si="10"/>
        <v>47.096296296296295</v>
      </c>
      <c r="I68" s="66">
        <f t="shared" si="11"/>
        <v>588.7037037037038</v>
      </c>
    </row>
    <row r="69" spans="1:9" ht="29.25" customHeight="1">
      <c r="A69" s="6">
        <v>55</v>
      </c>
      <c r="B69" s="32" t="s">
        <v>133</v>
      </c>
      <c r="C69" s="33" t="s">
        <v>8</v>
      </c>
      <c r="D69" s="63">
        <f>200+200+200+100</f>
        <v>700</v>
      </c>
      <c r="E69" s="60">
        <v>3.34</v>
      </c>
      <c r="F69" s="65">
        <f t="shared" si="9"/>
        <v>2338</v>
      </c>
      <c r="G69" s="10">
        <v>0.08</v>
      </c>
      <c r="H69" s="45">
        <f t="shared" si="10"/>
        <v>173.18518518518516</v>
      </c>
      <c r="I69" s="66">
        <f t="shared" si="11"/>
        <v>2164.814814814815</v>
      </c>
    </row>
    <row r="70" spans="1:9" ht="25.5" customHeight="1">
      <c r="A70" s="6">
        <v>56</v>
      </c>
      <c r="B70" s="32" t="s">
        <v>107</v>
      </c>
      <c r="C70" s="33" t="s">
        <v>14</v>
      </c>
      <c r="D70" s="63">
        <f>64+200</f>
        <v>264</v>
      </c>
      <c r="E70" s="60">
        <v>2.6</v>
      </c>
      <c r="F70" s="65">
        <f t="shared" si="9"/>
        <v>686.4</v>
      </c>
      <c r="G70" s="10">
        <v>0.08</v>
      </c>
      <c r="H70" s="45">
        <f t="shared" si="10"/>
        <v>50.84444444444444</v>
      </c>
      <c r="I70" s="66">
        <f t="shared" si="11"/>
        <v>635.5555555555555</v>
      </c>
    </row>
    <row r="71" spans="1:9" ht="26.25" customHeight="1">
      <c r="A71" s="6">
        <v>57</v>
      </c>
      <c r="B71" s="32" t="s">
        <v>135</v>
      </c>
      <c r="C71" s="33" t="s">
        <v>8</v>
      </c>
      <c r="D71" s="63">
        <f>200+180+25+10</f>
        <v>415</v>
      </c>
      <c r="E71" s="60">
        <v>1.3</v>
      </c>
      <c r="F71" s="65">
        <f>D71*E71</f>
        <v>539.5</v>
      </c>
      <c r="G71" s="10">
        <v>0.23</v>
      </c>
      <c r="H71" s="45">
        <f t="shared" si="10"/>
        <v>100.88211382113822</v>
      </c>
      <c r="I71" s="66">
        <f t="shared" si="11"/>
        <v>438.6178861788618</v>
      </c>
    </row>
    <row r="72" spans="1:9" ht="24.75" customHeight="1">
      <c r="A72" s="6">
        <v>58</v>
      </c>
      <c r="B72" s="32" t="s">
        <v>136</v>
      </c>
      <c r="C72" s="21" t="s">
        <v>8</v>
      </c>
      <c r="D72" s="63">
        <f>900+5000+1000</f>
        <v>6900</v>
      </c>
      <c r="E72" s="60">
        <v>1.13</v>
      </c>
      <c r="F72" s="65">
        <f t="shared" si="9"/>
        <v>7796.999999999999</v>
      </c>
      <c r="G72" s="10">
        <v>0.23</v>
      </c>
      <c r="H72" s="45">
        <f t="shared" si="10"/>
        <v>1457.9756097560976</v>
      </c>
      <c r="I72" s="66">
        <f t="shared" si="11"/>
        <v>6339.0243902439015</v>
      </c>
    </row>
    <row r="73" spans="1:9" ht="22.5" customHeight="1">
      <c r="A73" s="6">
        <v>59</v>
      </c>
      <c r="B73" s="28" t="s">
        <v>51</v>
      </c>
      <c r="C73" s="29" t="s">
        <v>10</v>
      </c>
      <c r="D73" s="63">
        <f>30</f>
        <v>30</v>
      </c>
      <c r="E73" s="64">
        <v>7.92</v>
      </c>
      <c r="F73" s="65">
        <f t="shared" si="9"/>
        <v>237.6</v>
      </c>
      <c r="G73" s="10">
        <v>0.23</v>
      </c>
      <c r="H73" s="45">
        <f t="shared" si="10"/>
        <v>44.42926829268293</v>
      </c>
      <c r="I73" s="66">
        <f t="shared" si="11"/>
        <v>193.17073170731706</v>
      </c>
    </row>
    <row r="74" spans="1:9" ht="29.25" customHeight="1">
      <c r="A74" s="6">
        <v>60</v>
      </c>
      <c r="B74" s="28" t="s">
        <v>52</v>
      </c>
      <c r="C74" s="20" t="s">
        <v>10</v>
      </c>
      <c r="D74" s="63">
        <f>10+50+150+30</f>
        <v>240</v>
      </c>
      <c r="E74" s="60">
        <v>3.96</v>
      </c>
      <c r="F74" s="65">
        <f t="shared" si="9"/>
        <v>950.4</v>
      </c>
      <c r="G74" s="10">
        <v>0.23</v>
      </c>
      <c r="H74" s="45">
        <f t="shared" si="10"/>
        <v>177.7170731707317</v>
      </c>
      <c r="I74" s="66">
        <f t="shared" si="11"/>
        <v>772.6829268292682</v>
      </c>
    </row>
    <row r="75" spans="1:9" ht="28.5" customHeight="1">
      <c r="A75" s="6">
        <v>61</v>
      </c>
      <c r="B75" s="19" t="s">
        <v>56</v>
      </c>
      <c r="C75" s="20" t="s">
        <v>8</v>
      </c>
      <c r="D75" s="63">
        <f>50</f>
        <v>50</v>
      </c>
      <c r="E75" s="60">
        <v>1.8</v>
      </c>
      <c r="F75" s="65">
        <f t="shared" si="9"/>
        <v>90</v>
      </c>
      <c r="G75" s="10">
        <v>0.23</v>
      </c>
      <c r="H75" s="45">
        <f t="shared" si="10"/>
        <v>16.829268292682926</v>
      </c>
      <c r="I75" s="66">
        <f t="shared" si="11"/>
        <v>73.17073170731707</v>
      </c>
    </row>
    <row r="76" spans="1:9" ht="23.25" customHeight="1">
      <c r="A76" s="6">
        <v>62</v>
      </c>
      <c r="B76" s="30" t="s">
        <v>137</v>
      </c>
      <c r="C76" s="22" t="s">
        <v>8</v>
      </c>
      <c r="D76" s="63">
        <f>100+50+150+200</f>
        <v>500</v>
      </c>
      <c r="E76" s="60">
        <v>1.3</v>
      </c>
      <c r="F76" s="65">
        <f t="shared" si="9"/>
        <v>650</v>
      </c>
      <c r="G76" s="23">
        <v>0.23</v>
      </c>
      <c r="H76" s="45">
        <f t="shared" si="10"/>
        <v>121.54471544715447</v>
      </c>
      <c r="I76" s="66">
        <f t="shared" si="11"/>
        <v>528.4552845528456</v>
      </c>
    </row>
    <row r="77" spans="1:9" ht="31.5" customHeight="1">
      <c r="A77" s="6">
        <v>63</v>
      </c>
      <c r="B77" s="28" t="s">
        <v>157</v>
      </c>
      <c r="C77" s="31" t="s">
        <v>8</v>
      </c>
      <c r="D77" s="63">
        <f>80</f>
        <v>80</v>
      </c>
      <c r="E77" s="60">
        <v>5.99</v>
      </c>
      <c r="F77" s="65">
        <f>D77*E77</f>
        <v>479.20000000000005</v>
      </c>
      <c r="G77" s="23">
        <v>0.23</v>
      </c>
      <c r="H77" s="45">
        <f>(F77*G77)/(100%+G77)</f>
        <v>89.60650406504065</v>
      </c>
      <c r="I77" s="66">
        <f>F77-H77</f>
        <v>389.5934959349594</v>
      </c>
    </row>
    <row r="78" spans="1:9" ht="25.5" customHeight="1">
      <c r="A78" s="6">
        <v>64</v>
      </c>
      <c r="B78" s="36" t="s">
        <v>50</v>
      </c>
      <c r="C78" s="31" t="s">
        <v>8</v>
      </c>
      <c r="D78" s="63">
        <f>10+100+10</f>
        <v>120</v>
      </c>
      <c r="E78" s="60">
        <v>1.98</v>
      </c>
      <c r="F78" s="65">
        <f t="shared" si="9"/>
        <v>237.6</v>
      </c>
      <c r="G78" s="23">
        <v>0.08</v>
      </c>
      <c r="H78" s="45">
        <f t="shared" si="10"/>
        <v>17.599999999999998</v>
      </c>
      <c r="I78" s="66">
        <f t="shared" si="11"/>
        <v>220</v>
      </c>
    </row>
    <row r="79" spans="1:9" ht="26.25" customHeight="1">
      <c r="A79" s="6">
        <v>65</v>
      </c>
      <c r="B79" s="30" t="s">
        <v>132</v>
      </c>
      <c r="C79" s="31" t="s">
        <v>8</v>
      </c>
      <c r="D79" s="63">
        <f>25+60+30</f>
        <v>115</v>
      </c>
      <c r="E79" s="60">
        <v>8.44</v>
      </c>
      <c r="F79" s="65">
        <f t="shared" si="9"/>
        <v>970.5999999999999</v>
      </c>
      <c r="G79" s="23">
        <v>0.08</v>
      </c>
      <c r="H79" s="45">
        <f t="shared" si="10"/>
        <v>71.89629629629628</v>
      </c>
      <c r="I79" s="66">
        <f t="shared" si="11"/>
        <v>898.7037037037036</v>
      </c>
    </row>
    <row r="80" spans="1:9" ht="24.75" customHeight="1">
      <c r="A80" s="6">
        <v>66</v>
      </c>
      <c r="B80" s="30" t="s">
        <v>138</v>
      </c>
      <c r="C80" s="31" t="s">
        <v>8</v>
      </c>
      <c r="D80" s="63">
        <f>100+800+100+60</f>
        <v>1060</v>
      </c>
      <c r="E80" s="60">
        <v>2.26</v>
      </c>
      <c r="F80" s="65">
        <f t="shared" si="9"/>
        <v>2395.6</v>
      </c>
      <c r="G80" s="23">
        <v>0.05</v>
      </c>
      <c r="H80" s="45">
        <f t="shared" si="10"/>
        <v>114.07619047619048</v>
      </c>
      <c r="I80" s="66">
        <f t="shared" si="11"/>
        <v>2281.5238095238096</v>
      </c>
    </row>
    <row r="81" spans="1:9" ht="30" customHeight="1">
      <c r="A81" s="6">
        <v>67</v>
      </c>
      <c r="B81" s="30" t="s">
        <v>139</v>
      </c>
      <c r="C81" s="31" t="s">
        <v>8</v>
      </c>
      <c r="D81" s="63">
        <f>10+100+200</f>
        <v>310</v>
      </c>
      <c r="E81" s="60">
        <v>1.13</v>
      </c>
      <c r="F81" s="65">
        <f t="shared" si="9"/>
        <v>350.29999999999995</v>
      </c>
      <c r="G81" s="23">
        <v>0.23</v>
      </c>
      <c r="H81" s="45">
        <f t="shared" si="10"/>
        <v>65.50325203252032</v>
      </c>
      <c r="I81" s="66">
        <f t="shared" si="11"/>
        <v>284.79674796747963</v>
      </c>
    </row>
    <row r="82" spans="1:9" ht="27" customHeight="1">
      <c r="A82" s="6">
        <v>68</v>
      </c>
      <c r="B82" s="36" t="s">
        <v>140</v>
      </c>
      <c r="C82" s="31" t="s">
        <v>8</v>
      </c>
      <c r="D82" s="63">
        <f>50+70</f>
        <v>120</v>
      </c>
      <c r="E82" s="60">
        <v>3</v>
      </c>
      <c r="F82" s="65">
        <f t="shared" si="9"/>
        <v>360</v>
      </c>
      <c r="G82" s="23">
        <v>0.08</v>
      </c>
      <c r="H82" s="45">
        <f t="shared" si="10"/>
        <v>26.666666666666664</v>
      </c>
      <c r="I82" s="66">
        <f t="shared" si="11"/>
        <v>333.3333333333333</v>
      </c>
    </row>
    <row r="83" spans="1:9" ht="25.5" customHeight="1">
      <c r="A83" s="6">
        <v>69</v>
      </c>
      <c r="B83" s="30" t="s">
        <v>49</v>
      </c>
      <c r="C83" s="31" t="s">
        <v>8</v>
      </c>
      <c r="D83" s="63">
        <f>5+10</f>
        <v>15</v>
      </c>
      <c r="E83" s="60">
        <v>20.31</v>
      </c>
      <c r="F83" s="65">
        <f t="shared" si="9"/>
        <v>304.65</v>
      </c>
      <c r="G83" s="23">
        <v>0.08</v>
      </c>
      <c r="H83" s="45">
        <f t="shared" si="10"/>
        <v>22.566666666666666</v>
      </c>
      <c r="I83" s="66">
        <f t="shared" si="11"/>
        <v>282.0833333333333</v>
      </c>
    </row>
    <row r="84" spans="1:9" ht="26.25" customHeight="1">
      <c r="A84" s="6">
        <v>70</v>
      </c>
      <c r="B84" s="36" t="s">
        <v>165</v>
      </c>
      <c r="C84" s="31" t="s">
        <v>8</v>
      </c>
      <c r="D84" s="63">
        <f>250+40</f>
        <v>290</v>
      </c>
      <c r="E84" s="60">
        <v>8.87</v>
      </c>
      <c r="F84" s="65">
        <f t="shared" si="9"/>
        <v>2572.2999999999997</v>
      </c>
      <c r="G84" s="23">
        <v>0.08</v>
      </c>
      <c r="H84" s="45">
        <f>(F84*G84)/(100%+G84)</f>
        <v>190.54074074074072</v>
      </c>
      <c r="I84" s="66">
        <f t="shared" si="11"/>
        <v>2381.759259259259</v>
      </c>
    </row>
    <row r="85" spans="1:9" ht="28.5" customHeight="1">
      <c r="A85" s="6">
        <v>71</v>
      </c>
      <c r="B85" s="30" t="s">
        <v>141</v>
      </c>
      <c r="C85" s="31" t="s">
        <v>8</v>
      </c>
      <c r="D85" s="63">
        <f>1000+4000+1000+1000</f>
        <v>7000</v>
      </c>
      <c r="E85" s="60">
        <v>1.13</v>
      </c>
      <c r="F85" s="65">
        <f t="shared" si="9"/>
        <v>7909.999999999999</v>
      </c>
      <c r="G85" s="23">
        <v>0.23</v>
      </c>
      <c r="H85" s="45">
        <f t="shared" si="10"/>
        <v>1479.1056910569105</v>
      </c>
      <c r="I85" s="66">
        <f t="shared" si="11"/>
        <v>6430.894308943089</v>
      </c>
    </row>
    <row r="86" spans="1:9" ht="27" customHeight="1">
      <c r="A86" s="6">
        <v>72</v>
      </c>
      <c r="B86" s="74" t="s">
        <v>158</v>
      </c>
      <c r="C86" s="73" t="s">
        <v>8</v>
      </c>
      <c r="D86" s="59">
        <f>150+20</f>
        <v>170</v>
      </c>
      <c r="E86" s="60">
        <v>3.29</v>
      </c>
      <c r="F86" s="61">
        <f>D86*E86</f>
        <v>559.3</v>
      </c>
      <c r="G86" s="23">
        <v>0.05</v>
      </c>
      <c r="H86" s="72">
        <f>(F86*G86)/(100%+G86)</f>
        <v>26.633333333333333</v>
      </c>
      <c r="I86" s="62">
        <f>F86-H86</f>
        <v>532.6666666666666</v>
      </c>
    </row>
    <row r="87" spans="1:9" ht="27" customHeight="1" hidden="1">
      <c r="A87" s="6"/>
      <c r="B87" s="30"/>
      <c r="C87" s="31"/>
      <c r="D87" s="63"/>
      <c r="E87" s="60"/>
      <c r="F87" s="61"/>
      <c r="G87" s="23"/>
      <c r="H87" s="47"/>
      <c r="I87" s="71"/>
    </row>
    <row r="88" spans="1:9" ht="27" customHeight="1">
      <c r="A88" s="50">
        <v>73</v>
      </c>
      <c r="B88" s="32" t="s">
        <v>146</v>
      </c>
      <c r="C88" s="21" t="s">
        <v>14</v>
      </c>
      <c r="D88" s="59">
        <f>20+250+50+40</f>
        <v>360</v>
      </c>
      <c r="E88" s="75">
        <v>1.77</v>
      </c>
      <c r="F88" s="77">
        <f>D88*E88</f>
        <v>637.2</v>
      </c>
      <c r="G88" s="76">
        <v>0.08</v>
      </c>
      <c r="H88" s="78">
        <f aca="true" t="shared" si="12" ref="H88:H108">(F88*G88)/(100%+G88)</f>
        <v>47.2</v>
      </c>
      <c r="I88" s="79">
        <f aca="true" t="shared" si="13" ref="I88:I108">F88-H88</f>
        <v>590</v>
      </c>
    </row>
    <row r="89" spans="1:9" ht="27" customHeight="1">
      <c r="A89" s="54">
        <v>74</v>
      </c>
      <c r="B89" s="84" t="s">
        <v>212</v>
      </c>
      <c r="C89" s="54" t="s">
        <v>14</v>
      </c>
      <c r="D89" s="67">
        <v>50</v>
      </c>
      <c r="E89" s="68">
        <v>3.77</v>
      </c>
      <c r="F89" s="77">
        <f aca="true" t="shared" si="14" ref="F89:F108">D89*E89</f>
        <v>188.5</v>
      </c>
      <c r="G89" s="55">
        <v>0.23</v>
      </c>
      <c r="H89" s="49">
        <f t="shared" si="12"/>
        <v>35.2479674796748</v>
      </c>
      <c r="I89" s="70">
        <f t="shared" si="13"/>
        <v>153.2520325203252</v>
      </c>
    </row>
    <row r="90" spans="1:9" ht="27" customHeight="1">
      <c r="A90" s="54">
        <v>75</v>
      </c>
      <c r="B90" s="84" t="s">
        <v>99</v>
      </c>
      <c r="C90" s="54" t="s">
        <v>8</v>
      </c>
      <c r="D90" s="67">
        <f>80+60</f>
        <v>140</v>
      </c>
      <c r="E90" s="68">
        <v>3.77</v>
      </c>
      <c r="F90" s="77">
        <f t="shared" si="14"/>
        <v>527.8</v>
      </c>
      <c r="G90" s="55">
        <v>0.23</v>
      </c>
      <c r="H90" s="49">
        <f t="shared" si="12"/>
        <v>98.69430894308942</v>
      </c>
      <c r="I90" s="70">
        <f t="shared" si="13"/>
        <v>429.10569105691053</v>
      </c>
    </row>
    <row r="91" spans="1:9" ht="27" customHeight="1">
      <c r="A91" s="54">
        <v>76</v>
      </c>
      <c r="B91" s="84" t="s">
        <v>105</v>
      </c>
      <c r="C91" s="54" t="s">
        <v>170</v>
      </c>
      <c r="D91" s="67">
        <f>300+450+320+120</f>
        <v>1190</v>
      </c>
      <c r="E91" s="68">
        <v>4.53</v>
      </c>
      <c r="F91" s="77">
        <f t="shared" si="14"/>
        <v>5390.700000000001</v>
      </c>
      <c r="G91" s="55">
        <v>0.05</v>
      </c>
      <c r="H91" s="49">
        <f t="shared" si="12"/>
        <v>256.7</v>
      </c>
      <c r="I91" s="70">
        <f t="shared" si="13"/>
        <v>5134.000000000001</v>
      </c>
    </row>
    <row r="92" spans="1:9" ht="27" customHeight="1">
      <c r="A92" s="54">
        <v>77</v>
      </c>
      <c r="B92" s="84" t="s">
        <v>154</v>
      </c>
      <c r="C92" s="54" t="s">
        <v>8</v>
      </c>
      <c r="D92" s="67">
        <f>80+60</f>
        <v>140</v>
      </c>
      <c r="E92" s="68">
        <v>11.03</v>
      </c>
      <c r="F92" s="77">
        <f t="shared" si="14"/>
        <v>1544.1999999999998</v>
      </c>
      <c r="G92" s="55">
        <v>0.08</v>
      </c>
      <c r="H92" s="49">
        <f t="shared" si="12"/>
        <v>114.38518518518516</v>
      </c>
      <c r="I92" s="70">
        <f t="shared" si="13"/>
        <v>1429.8148148148146</v>
      </c>
    </row>
    <row r="93" spans="1:9" ht="27" customHeight="1">
      <c r="A93" s="54">
        <v>78</v>
      </c>
      <c r="B93" s="84" t="s">
        <v>163</v>
      </c>
      <c r="C93" s="54" t="s">
        <v>8</v>
      </c>
      <c r="D93" s="67">
        <f>60+700</f>
        <v>760</v>
      </c>
      <c r="E93" s="68">
        <v>2.6</v>
      </c>
      <c r="F93" s="77">
        <f t="shared" si="14"/>
        <v>1976</v>
      </c>
      <c r="G93" s="55">
        <v>0.08</v>
      </c>
      <c r="H93" s="49">
        <f t="shared" si="12"/>
        <v>146.37037037037038</v>
      </c>
      <c r="I93" s="70">
        <f t="shared" si="13"/>
        <v>1829.6296296296296</v>
      </c>
    </row>
    <row r="94" spans="1:9" ht="27" customHeight="1">
      <c r="A94" s="54">
        <v>79</v>
      </c>
      <c r="B94" s="84" t="s">
        <v>142</v>
      </c>
      <c r="C94" s="54" t="s">
        <v>8</v>
      </c>
      <c r="D94" s="67">
        <f>200+150+50</f>
        <v>400</v>
      </c>
      <c r="E94" s="68">
        <v>2.6</v>
      </c>
      <c r="F94" s="77">
        <f t="shared" si="14"/>
        <v>1040</v>
      </c>
      <c r="G94" s="55">
        <v>0.05</v>
      </c>
      <c r="H94" s="49">
        <f t="shared" si="12"/>
        <v>49.52380952380952</v>
      </c>
      <c r="I94" s="70">
        <f t="shared" si="13"/>
        <v>990.4761904761905</v>
      </c>
    </row>
    <row r="95" spans="1:9" ht="27" customHeight="1">
      <c r="A95" s="54">
        <v>80</v>
      </c>
      <c r="B95" s="84" t="s">
        <v>145</v>
      </c>
      <c r="C95" s="54" t="s">
        <v>8</v>
      </c>
      <c r="D95" s="67">
        <f>500</f>
        <v>500</v>
      </c>
      <c r="E95" s="68">
        <v>1.64</v>
      </c>
      <c r="F95" s="77">
        <f t="shared" si="14"/>
        <v>820</v>
      </c>
      <c r="G95" s="55">
        <v>0.05</v>
      </c>
      <c r="H95" s="49">
        <f t="shared" si="12"/>
        <v>39.047619047619044</v>
      </c>
      <c r="I95" s="70">
        <f t="shared" si="13"/>
        <v>780.952380952381</v>
      </c>
    </row>
    <row r="96" spans="1:9" ht="27" customHeight="1">
      <c r="A96" s="54">
        <v>81</v>
      </c>
      <c r="B96" s="84" t="s">
        <v>144</v>
      </c>
      <c r="C96" s="54" t="s">
        <v>14</v>
      </c>
      <c r="D96" s="67">
        <f>500+200</f>
        <v>700</v>
      </c>
      <c r="E96" s="68">
        <v>2</v>
      </c>
      <c r="F96" s="77">
        <f t="shared" si="14"/>
        <v>1400</v>
      </c>
      <c r="G96" s="55">
        <v>0.05</v>
      </c>
      <c r="H96" s="49">
        <f t="shared" si="12"/>
        <v>66.66666666666666</v>
      </c>
      <c r="I96" s="70">
        <f t="shared" si="13"/>
        <v>1333.3333333333333</v>
      </c>
    </row>
    <row r="97" spans="1:9" ht="27" customHeight="1">
      <c r="A97" s="54">
        <v>82</v>
      </c>
      <c r="B97" s="84" t="s">
        <v>143</v>
      </c>
      <c r="C97" s="54" t="s">
        <v>14</v>
      </c>
      <c r="D97" s="67">
        <f>40+10</f>
        <v>50</v>
      </c>
      <c r="E97" s="68">
        <v>19.74</v>
      </c>
      <c r="F97" s="77">
        <f t="shared" si="14"/>
        <v>986.9999999999999</v>
      </c>
      <c r="G97" s="55">
        <v>0.05</v>
      </c>
      <c r="H97" s="49">
        <f t="shared" si="12"/>
        <v>46.99999999999999</v>
      </c>
      <c r="I97" s="70">
        <f t="shared" si="13"/>
        <v>939.9999999999999</v>
      </c>
    </row>
    <row r="98" spans="1:9" ht="27" customHeight="1">
      <c r="A98" s="54">
        <v>83</v>
      </c>
      <c r="B98" s="84" t="s">
        <v>134</v>
      </c>
      <c r="C98" s="54" t="s">
        <v>8</v>
      </c>
      <c r="D98" s="67">
        <f>60+200+120</f>
        <v>380</v>
      </c>
      <c r="E98" s="68">
        <v>1.3</v>
      </c>
      <c r="F98" s="77">
        <f t="shared" si="14"/>
        <v>494</v>
      </c>
      <c r="G98" s="55">
        <v>0.05</v>
      </c>
      <c r="H98" s="49">
        <f t="shared" si="12"/>
        <v>23.523809523809526</v>
      </c>
      <c r="I98" s="70">
        <f t="shared" si="13"/>
        <v>470.4761904761905</v>
      </c>
    </row>
    <row r="99" spans="1:9" ht="27" customHeight="1">
      <c r="A99" s="54">
        <v>84</v>
      </c>
      <c r="B99" s="84" t="s">
        <v>159</v>
      </c>
      <c r="C99" s="54" t="s">
        <v>8</v>
      </c>
      <c r="D99" s="67">
        <v>90</v>
      </c>
      <c r="E99" s="68">
        <v>3</v>
      </c>
      <c r="F99" s="77">
        <f t="shared" si="14"/>
        <v>270</v>
      </c>
      <c r="G99" s="55">
        <v>0.05</v>
      </c>
      <c r="H99" s="49">
        <f t="shared" si="12"/>
        <v>12.857142857142856</v>
      </c>
      <c r="I99" s="70">
        <f t="shared" si="13"/>
        <v>257.14285714285717</v>
      </c>
    </row>
    <row r="100" spans="1:9" ht="27" customHeight="1">
      <c r="A100" s="54">
        <v>85</v>
      </c>
      <c r="B100" s="84" t="s">
        <v>189</v>
      </c>
      <c r="C100" s="54" t="s">
        <v>8</v>
      </c>
      <c r="D100" s="67">
        <v>20</v>
      </c>
      <c r="E100" s="68">
        <v>1.3</v>
      </c>
      <c r="F100" s="77">
        <f t="shared" si="14"/>
        <v>26</v>
      </c>
      <c r="G100" s="55">
        <v>0.05</v>
      </c>
      <c r="H100" s="49">
        <f t="shared" si="12"/>
        <v>1.2380952380952381</v>
      </c>
      <c r="I100" s="70">
        <f t="shared" si="13"/>
        <v>24.761904761904763</v>
      </c>
    </row>
    <row r="101" spans="1:9" ht="27" customHeight="1">
      <c r="A101" s="54">
        <v>86</v>
      </c>
      <c r="B101" s="84" t="s">
        <v>190</v>
      </c>
      <c r="C101" s="54" t="s">
        <v>10</v>
      </c>
      <c r="D101" s="67">
        <v>50</v>
      </c>
      <c r="E101" s="68">
        <v>9.28</v>
      </c>
      <c r="F101" s="77">
        <f t="shared" si="14"/>
        <v>463.99999999999994</v>
      </c>
      <c r="G101" s="55">
        <v>0.05</v>
      </c>
      <c r="H101" s="49">
        <f t="shared" si="12"/>
        <v>22.095238095238095</v>
      </c>
      <c r="I101" s="70">
        <f t="shared" si="13"/>
        <v>441.90476190476187</v>
      </c>
    </row>
    <row r="102" spans="1:9" ht="27" customHeight="1">
      <c r="A102" s="54">
        <v>87</v>
      </c>
      <c r="B102" s="84" t="s">
        <v>191</v>
      </c>
      <c r="C102" s="54" t="s">
        <v>8</v>
      </c>
      <c r="D102" s="67">
        <v>20</v>
      </c>
      <c r="E102" s="68">
        <v>1.3</v>
      </c>
      <c r="F102" s="77">
        <f t="shared" si="14"/>
        <v>26</v>
      </c>
      <c r="G102" s="55">
        <v>0.05</v>
      </c>
      <c r="H102" s="49">
        <f t="shared" si="12"/>
        <v>1.2380952380952381</v>
      </c>
      <c r="I102" s="70">
        <f t="shared" si="13"/>
        <v>24.761904761904763</v>
      </c>
    </row>
    <row r="103" spans="1:9" ht="27" customHeight="1">
      <c r="A103" s="54">
        <v>88</v>
      </c>
      <c r="B103" s="84" t="s">
        <v>192</v>
      </c>
      <c r="C103" s="54" t="s">
        <v>8</v>
      </c>
      <c r="D103" s="67">
        <v>30</v>
      </c>
      <c r="E103" s="68">
        <v>1.3</v>
      </c>
      <c r="F103" s="77">
        <f t="shared" si="14"/>
        <v>39</v>
      </c>
      <c r="G103" s="55">
        <v>0.05</v>
      </c>
      <c r="H103" s="49">
        <f t="shared" si="12"/>
        <v>1.8571428571428572</v>
      </c>
      <c r="I103" s="70">
        <f t="shared" si="13"/>
        <v>37.142857142857146</v>
      </c>
    </row>
    <row r="104" spans="1:9" ht="27" customHeight="1">
      <c r="A104" s="54">
        <v>89</v>
      </c>
      <c r="B104" s="84" t="s">
        <v>193</v>
      </c>
      <c r="C104" s="54" t="s">
        <v>8</v>
      </c>
      <c r="D104" s="67">
        <f>100+20</f>
        <v>120</v>
      </c>
      <c r="E104" s="68">
        <v>2.73</v>
      </c>
      <c r="F104" s="77">
        <f t="shared" si="14"/>
        <v>327.6</v>
      </c>
      <c r="G104" s="55">
        <v>0.05</v>
      </c>
      <c r="H104" s="49">
        <f t="shared" si="12"/>
        <v>15.600000000000001</v>
      </c>
      <c r="I104" s="70">
        <f t="shared" si="13"/>
        <v>312</v>
      </c>
    </row>
    <row r="105" spans="1:9" ht="27" customHeight="1">
      <c r="A105" s="54">
        <v>90</v>
      </c>
      <c r="B105" s="84" t="s">
        <v>194</v>
      </c>
      <c r="C105" s="54" t="s">
        <v>8</v>
      </c>
      <c r="D105" s="67">
        <f>100+20</f>
        <v>120</v>
      </c>
      <c r="E105" s="68">
        <v>2.73</v>
      </c>
      <c r="F105" s="77">
        <f t="shared" si="14"/>
        <v>327.6</v>
      </c>
      <c r="G105" s="55">
        <v>0.05</v>
      </c>
      <c r="H105" s="49">
        <f t="shared" si="12"/>
        <v>15.600000000000001</v>
      </c>
      <c r="I105" s="70">
        <f t="shared" si="13"/>
        <v>312</v>
      </c>
    </row>
    <row r="106" spans="1:9" ht="27" customHeight="1">
      <c r="A106" s="54">
        <v>91</v>
      </c>
      <c r="B106" s="84" t="s">
        <v>195</v>
      </c>
      <c r="C106" s="54" t="s">
        <v>8</v>
      </c>
      <c r="D106" s="67">
        <v>470</v>
      </c>
      <c r="E106" s="68">
        <v>2.63</v>
      </c>
      <c r="F106" s="77">
        <f t="shared" si="14"/>
        <v>1236.1</v>
      </c>
      <c r="G106" s="55">
        <v>0.05</v>
      </c>
      <c r="H106" s="49">
        <f t="shared" si="12"/>
        <v>58.86190476190476</v>
      </c>
      <c r="I106" s="70">
        <f t="shared" si="13"/>
        <v>1177.2380952380952</v>
      </c>
    </row>
    <row r="107" spans="1:9" ht="27" customHeight="1">
      <c r="A107" s="54">
        <v>92</v>
      </c>
      <c r="B107" s="84" t="s">
        <v>196</v>
      </c>
      <c r="C107" s="54" t="s">
        <v>8</v>
      </c>
      <c r="D107" s="67">
        <v>20</v>
      </c>
      <c r="E107" s="68">
        <v>3.15</v>
      </c>
      <c r="F107" s="77">
        <f t="shared" si="14"/>
        <v>63</v>
      </c>
      <c r="G107" s="55">
        <v>0.23</v>
      </c>
      <c r="H107" s="49">
        <f t="shared" si="12"/>
        <v>11.78048780487805</v>
      </c>
      <c r="I107" s="70">
        <f t="shared" si="13"/>
        <v>51.21951219512195</v>
      </c>
    </row>
    <row r="108" spans="1:9" ht="27" customHeight="1">
      <c r="A108" s="54">
        <v>93</v>
      </c>
      <c r="B108" s="84" t="s">
        <v>197</v>
      </c>
      <c r="C108" s="54" t="s">
        <v>8</v>
      </c>
      <c r="D108" s="67">
        <v>50</v>
      </c>
      <c r="E108" s="68">
        <v>3.34</v>
      </c>
      <c r="F108" s="77">
        <f t="shared" si="14"/>
        <v>167</v>
      </c>
      <c r="G108" s="55">
        <v>0.23</v>
      </c>
      <c r="H108" s="49">
        <f t="shared" si="12"/>
        <v>31.227642276422767</v>
      </c>
      <c r="I108" s="70">
        <f t="shared" si="13"/>
        <v>135.77235772357724</v>
      </c>
    </row>
    <row r="109" spans="1:9" ht="27" customHeight="1">
      <c r="A109" s="54">
        <v>94</v>
      </c>
      <c r="B109" s="84" t="s">
        <v>159</v>
      </c>
      <c r="C109" s="54" t="s">
        <v>8</v>
      </c>
      <c r="D109" s="67">
        <f>40+50</f>
        <v>90</v>
      </c>
      <c r="E109" s="68">
        <v>4.16</v>
      </c>
      <c r="F109" s="69">
        <f aca="true" t="shared" si="15" ref="F109:F124">D109*E109</f>
        <v>374.40000000000003</v>
      </c>
      <c r="G109" s="55">
        <v>0.05</v>
      </c>
      <c r="H109" s="49">
        <f aca="true" t="shared" si="16" ref="H109:H124">(F109*G109)/(100%+G109)</f>
        <v>17.82857142857143</v>
      </c>
      <c r="I109" s="70">
        <f aca="true" t="shared" si="17" ref="I109:I124">F109-H109</f>
        <v>356.5714285714286</v>
      </c>
    </row>
    <row r="110" spans="1:9" ht="27" customHeight="1">
      <c r="A110" s="54">
        <v>95</v>
      </c>
      <c r="B110" s="84" t="s">
        <v>198</v>
      </c>
      <c r="C110" s="54" t="s">
        <v>8</v>
      </c>
      <c r="D110" s="67">
        <v>50</v>
      </c>
      <c r="E110" s="68">
        <v>2.78</v>
      </c>
      <c r="F110" s="69">
        <f t="shared" si="15"/>
        <v>139</v>
      </c>
      <c r="G110" s="55">
        <v>0.23</v>
      </c>
      <c r="H110" s="49">
        <f t="shared" si="16"/>
        <v>25.99186991869919</v>
      </c>
      <c r="I110" s="70">
        <f t="shared" si="17"/>
        <v>113.0081300813008</v>
      </c>
    </row>
    <row r="111" spans="1:9" ht="27" customHeight="1">
      <c r="A111" s="54">
        <v>96</v>
      </c>
      <c r="B111" s="84" t="s">
        <v>199</v>
      </c>
      <c r="C111" s="54" t="s">
        <v>8</v>
      </c>
      <c r="D111" s="67">
        <v>20</v>
      </c>
      <c r="E111" s="68">
        <v>3.87</v>
      </c>
      <c r="F111" s="69">
        <f t="shared" si="15"/>
        <v>77.4</v>
      </c>
      <c r="G111" s="55">
        <v>0.23</v>
      </c>
      <c r="H111" s="49">
        <f t="shared" si="16"/>
        <v>14.47317073170732</v>
      </c>
      <c r="I111" s="70">
        <f t="shared" si="17"/>
        <v>62.926829268292686</v>
      </c>
    </row>
    <row r="112" spans="1:9" ht="27" customHeight="1">
      <c r="A112" s="54">
        <v>97</v>
      </c>
      <c r="B112" s="84" t="s">
        <v>200</v>
      </c>
      <c r="C112" s="54" t="s">
        <v>8</v>
      </c>
      <c r="D112" s="67">
        <f>50+20</f>
        <v>70</v>
      </c>
      <c r="E112" s="68">
        <v>1.05</v>
      </c>
      <c r="F112" s="69">
        <f t="shared" si="15"/>
        <v>73.5</v>
      </c>
      <c r="G112" s="55">
        <v>0.05</v>
      </c>
      <c r="H112" s="49">
        <f t="shared" si="16"/>
        <v>3.5</v>
      </c>
      <c r="I112" s="70">
        <f t="shared" si="17"/>
        <v>70</v>
      </c>
    </row>
    <row r="113" spans="1:9" ht="27" customHeight="1">
      <c r="A113" s="54">
        <v>98</v>
      </c>
      <c r="B113" s="84" t="s">
        <v>214</v>
      </c>
      <c r="C113" s="54" t="s">
        <v>8</v>
      </c>
      <c r="D113" s="67">
        <v>10</v>
      </c>
      <c r="E113" s="68">
        <v>1.81</v>
      </c>
      <c r="F113" s="69">
        <f t="shared" si="15"/>
        <v>18.1</v>
      </c>
      <c r="G113" s="55">
        <v>0.05</v>
      </c>
      <c r="H113" s="49">
        <f t="shared" si="16"/>
        <v>0.861904761904762</v>
      </c>
      <c r="I113" s="70">
        <f t="shared" si="17"/>
        <v>17.23809523809524</v>
      </c>
    </row>
    <row r="114" spans="1:9" ht="27" customHeight="1">
      <c r="A114" s="54">
        <v>99</v>
      </c>
      <c r="B114" s="84" t="s">
        <v>201</v>
      </c>
      <c r="C114" s="54" t="s">
        <v>8</v>
      </c>
      <c r="D114" s="67">
        <f>50+30</f>
        <v>80</v>
      </c>
      <c r="E114" s="68">
        <v>0.62</v>
      </c>
      <c r="F114" s="69">
        <f t="shared" si="15"/>
        <v>49.6</v>
      </c>
      <c r="G114" s="55">
        <v>0.05</v>
      </c>
      <c r="H114" s="49">
        <f t="shared" si="16"/>
        <v>2.3619047619047624</v>
      </c>
      <c r="I114" s="70">
        <f t="shared" si="17"/>
        <v>47.23809523809524</v>
      </c>
    </row>
    <row r="115" spans="1:9" ht="27" customHeight="1">
      <c r="A115" s="54">
        <v>100</v>
      </c>
      <c r="B115" s="84" t="s">
        <v>202</v>
      </c>
      <c r="C115" s="54" t="s">
        <v>8</v>
      </c>
      <c r="D115" s="67">
        <v>50</v>
      </c>
      <c r="E115" s="68">
        <v>1.37</v>
      </c>
      <c r="F115" s="69">
        <f t="shared" si="15"/>
        <v>68.5</v>
      </c>
      <c r="G115" s="55">
        <v>0.05</v>
      </c>
      <c r="H115" s="49">
        <f t="shared" si="16"/>
        <v>3.261904761904762</v>
      </c>
      <c r="I115" s="70">
        <f t="shared" si="17"/>
        <v>65.23809523809524</v>
      </c>
    </row>
    <row r="116" spans="1:9" ht="27" customHeight="1">
      <c r="A116" s="54">
        <v>101</v>
      </c>
      <c r="B116" s="84" t="s">
        <v>203</v>
      </c>
      <c r="C116" s="54" t="s">
        <v>8</v>
      </c>
      <c r="D116" s="67">
        <v>50</v>
      </c>
      <c r="E116" s="68">
        <v>1.37</v>
      </c>
      <c r="F116" s="69">
        <f t="shared" si="15"/>
        <v>68.5</v>
      </c>
      <c r="G116" s="55">
        <v>0.05</v>
      </c>
      <c r="H116" s="49">
        <f t="shared" si="16"/>
        <v>3.261904761904762</v>
      </c>
      <c r="I116" s="70">
        <f t="shared" si="17"/>
        <v>65.23809523809524</v>
      </c>
    </row>
    <row r="117" spans="1:9" ht="27" customHeight="1">
      <c r="A117" s="54">
        <v>102</v>
      </c>
      <c r="B117" s="84" t="s">
        <v>204</v>
      </c>
      <c r="C117" s="54" t="s">
        <v>8</v>
      </c>
      <c r="D117" s="67">
        <v>30</v>
      </c>
      <c r="E117" s="68">
        <v>1.05</v>
      </c>
      <c r="F117" s="69">
        <f t="shared" si="15"/>
        <v>31.5</v>
      </c>
      <c r="G117" s="55">
        <v>0.05</v>
      </c>
      <c r="H117" s="49">
        <f t="shared" si="16"/>
        <v>1.5</v>
      </c>
      <c r="I117" s="70">
        <f t="shared" si="17"/>
        <v>30</v>
      </c>
    </row>
    <row r="118" spans="1:9" ht="27" customHeight="1">
      <c r="A118" s="54">
        <v>103</v>
      </c>
      <c r="B118" s="84" t="s">
        <v>205</v>
      </c>
      <c r="C118" s="54" t="s">
        <v>8</v>
      </c>
      <c r="D118" s="67">
        <v>50</v>
      </c>
      <c r="E118" s="68">
        <v>1.37</v>
      </c>
      <c r="F118" s="69">
        <f t="shared" si="15"/>
        <v>68.5</v>
      </c>
      <c r="G118" s="55">
        <v>0.05</v>
      </c>
      <c r="H118" s="49">
        <f t="shared" si="16"/>
        <v>3.261904761904762</v>
      </c>
      <c r="I118" s="70">
        <f t="shared" si="17"/>
        <v>65.23809523809524</v>
      </c>
    </row>
    <row r="119" spans="1:9" ht="27" customHeight="1">
      <c r="A119" s="54">
        <v>104</v>
      </c>
      <c r="B119" s="84" t="s">
        <v>206</v>
      </c>
      <c r="C119" s="54" t="s">
        <v>8</v>
      </c>
      <c r="D119" s="67">
        <v>30</v>
      </c>
      <c r="E119" s="68">
        <v>6.3</v>
      </c>
      <c r="F119" s="69">
        <f t="shared" si="15"/>
        <v>189</v>
      </c>
      <c r="G119" s="55">
        <v>0.05</v>
      </c>
      <c r="H119" s="49">
        <f t="shared" si="16"/>
        <v>9</v>
      </c>
      <c r="I119" s="70">
        <f t="shared" si="17"/>
        <v>180</v>
      </c>
    </row>
    <row r="120" spans="1:9" ht="27" customHeight="1">
      <c r="A120" s="54">
        <v>105</v>
      </c>
      <c r="B120" s="84" t="s">
        <v>207</v>
      </c>
      <c r="C120" s="54" t="s">
        <v>8</v>
      </c>
      <c r="D120" s="67">
        <v>30</v>
      </c>
      <c r="E120" s="68">
        <v>6.3</v>
      </c>
      <c r="F120" s="69">
        <f t="shared" si="15"/>
        <v>189</v>
      </c>
      <c r="G120" s="55">
        <v>0.05</v>
      </c>
      <c r="H120" s="49">
        <f t="shared" si="16"/>
        <v>9</v>
      </c>
      <c r="I120" s="70">
        <f t="shared" si="17"/>
        <v>180</v>
      </c>
    </row>
    <row r="121" spans="1:9" ht="27" customHeight="1">
      <c r="A121" s="54">
        <v>106</v>
      </c>
      <c r="B121" s="84" t="s">
        <v>208</v>
      </c>
      <c r="C121" s="54" t="s">
        <v>8</v>
      </c>
      <c r="D121" s="67">
        <v>30</v>
      </c>
      <c r="E121" s="68">
        <v>6.3</v>
      </c>
      <c r="F121" s="69">
        <f t="shared" si="15"/>
        <v>189</v>
      </c>
      <c r="G121" s="55">
        <v>0.05</v>
      </c>
      <c r="H121" s="49">
        <f t="shared" si="16"/>
        <v>9</v>
      </c>
      <c r="I121" s="70">
        <f t="shared" si="17"/>
        <v>180</v>
      </c>
    </row>
    <row r="122" spans="1:9" ht="27" customHeight="1">
      <c r="A122" s="54">
        <v>107</v>
      </c>
      <c r="B122" s="84" t="s">
        <v>209</v>
      </c>
      <c r="C122" s="54" t="s">
        <v>8</v>
      </c>
      <c r="D122" s="67">
        <v>40</v>
      </c>
      <c r="E122" s="68">
        <v>1.05</v>
      </c>
      <c r="F122" s="69">
        <f t="shared" si="15"/>
        <v>42</v>
      </c>
      <c r="G122" s="55">
        <v>0.05</v>
      </c>
      <c r="H122" s="49">
        <f t="shared" si="16"/>
        <v>2</v>
      </c>
      <c r="I122" s="70">
        <f t="shared" si="17"/>
        <v>40</v>
      </c>
    </row>
    <row r="123" spans="1:9" ht="27" customHeight="1">
      <c r="A123" s="54">
        <v>108</v>
      </c>
      <c r="B123" s="84" t="s">
        <v>210</v>
      </c>
      <c r="C123" s="54" t="s">
        <v>8</v>
      </c>
      <c r="D123" s="67">
        <v>50</v>
      </c>
      <c r="E123" s="68">
        <v>1.37</v>
      </c>
      <c r="F123" s="69">
        <f t="shared" si="15"/>
        <v>68.5</v>
      </c>
      <c r="G123" s="55">
        <v>0.05</v>
      </c>
      <c r="H123" s="49">
        <f t="shared" si="16"/>
        <v>3.261904761904762</v>
      </c>
      <c r="I123" s="70">
        <f t="shared" si="17"/>
        <v>65.23809523809524</v>
      </c>
    </row>
    <row r="124" spans="1:9" ht="27" customHeight="1">
      <c r="A124" s="54">
        <v>109</v>
      </c>
      <c r="B124" s="84" t="s">
        <v>211</v>
      </c>
      <c r="C124" s="54" t="s">
        <v>8</v>
      </c>
      <c r="D124" s="67">
        <v>30</v>
      </c>
      <c r="E124" s="68">
        <v>3.15</v>
      </c>
      <c r="F124" s="69">
        <f t="shared" si="15"/>
        <v>94.5</v>
      </c>
      <c r="G124" s="55">
        <v>0.05</v>
      </c>
      <c r="H124" s="49">
        <f t="shared" si="16"/>
        <v>4.5</v>
      </c>
      <c r="I124" s="70">
        <f t="shared" si="17"/>
        <v>90</v>
      </c>
    </row>
    <row r="125" spans="1:9" ht="26.25" customHeight="1">
      <c r="A125" s="24"/>
      <c r="F125" s="80">
        <f>SUM(F12:F124)</f>
        <v>96321.98000000001</v>
      </c>
      <c r="G125" s="81"/>
      <c r="H125" s="82"/>
      <c r="I125" s="83">
        <f>SUM(I12:I124)</f>
        <v>83332.26096915732</v>
      </c>
    </row>
    <row r="126" spans="1:9" ht="15.75" customHeight="1">
      <c r="A126" s="13"/>
      <c r="B126" s="17"/>
      <c r="C126" s="17" t="s">
        <v>172</v>
      </c>
      <c r="G126" s="16"/>
      <c r="H126" s="16"/>
      <c r="I126" s="16"/>
    </row>
    <row r="127" spans="1:9" ht="15.75" customHeight="1">
      <c r="A127" s="16"/>
      <c r="C127" t="s">
        <v>13</v>
      </c>
      <c r="G127" s="16"/>
      <c r="H127" s="16"/>
      <c r="I127" s="16"/>
    </row>
    <row r="128" spans="3:4" ht="15" customHeight="1">
      <c r="C128" s="17"/>
      <c r="D128" s="17"/>
    </row>
    <row r="129" spans="3:9" ht="15" customHeight="1">
      <c r="C129" s="18" t="s">
        <v>12</v>
      </c>
      <c r="I129" s="18"/>
    </row>
    <row r="130" ht="15" customHeight="1"/>
    <row r="131" ht="15" customHeight="1"/>
  </sheetData>
  <sheetProtection selectLockedCells="1" selectUnlockedCells="1"/>
  <mergeCells count="10">
    <mergeCell ref="F19:F21"/>
    <mergeCell ref="G19:G21"/>
    <mergeCell ref="A8:I9"/>
    <mergeCell ref="H19:H21"/>
    <mergeCell ref="I19:I21"/>
    <mergeCell ref="A19:A21"/>
    <mergeCell ref="B19:B21"/>
    <mergeCell ref="C19:C21"/>
    <mergeCell ref="D19:D21"/>
    <mergeCell ref="E19:E21"/>
  </mergeCells>
  <printOptions horizontalCentered="1"/>
  <pageMargins left="0.7875" right="0.7875" top="0.5" bottom="0.5798611111111112" header="0.5118055555555555" footer="0.5118055555555555"/>
  <pageSetup fitToHeight="0" fitToWidth="0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view="pageBreakPreview" zoomScaleSheetLayoutView="100" zoomScalePageLayoutView="0" workbookViewId="0" topLeftCell="A41">
      <selection activeCell="E15" sqref="E15"/>
    </sheetView>
  </sheetViews>
  <sheetFormatPr defaultColWidth="9.140625" defaultRowHeight="12.75"/>
  <cols>
    <col min="1" max="1" width="10.8515625" style="0" customWidth="1"/>
    <col min="2" max="2" width="86.8515625" style="0" customWidth="1"/>
    <col min="3" max="3" width="10.140625" style="0" customWidth="1"/>
    <col min="4" max="4" width="9.28125" style="0" customWidth="1"/>
    <col min="5" max="5" width="10.421875" style="0" customWidth="1"/>
    <col min="6" max="6" width="12.00390625" style="0" customWidth="1"/>
    <col min="7" max="8" width="10.28125" style="0" customWidth="1"/>
    <col min="9" max="9" width="15.140625" style="0" customWidth="1"/>
  </cols>
  <sheetData>
    <row r="1" spans="6:9" ht="15">
      <c r="F1" s="1"/>
      <c r="G1" s="1"/>
      <c r="H1" s="1"/>
      <c r="I1" s="2"/>
    </row>
    <row r="2" spans="6:9" ht="12.75">
      <c r="F2" s="1"/>
      <c r="G2" s="1"/>
      <c r="H2" s="1"/>
      <c r="I2" s="1"/>
    </row>
    <row r="3" spans="2:9" ht="13.5">
      <c r="B3" t="s">
        <v>173</v>
      </c>
      <c r="F3" s="40" t="s">
        <v>93</v>
      </c>
      <c r="G3" s="1"/>
      <c r="H3" s="1"/>
      <c r="I3" s="1"/>
    </row>
    <row r="4" spans="6:9" ht="12.75">
      <c r="F4" s="1"/>
      <c r="G4" s="1"/>
      <c r="H4" s="1"/>
      <c r="I4" s="1"/>
    </row>
    <row r="5" ht="15">
      <c r="B5" s="3"/>
    </row>
    <row r="6" ht="15">
      <c r="B6" s="3" t="s">
        <v>0</v>
      </c>
    </row>
    <row r="7" ht="15">
      <c r="B7" s="3" t="s">
        <v>1</v>
      </c>
    </row>
    <row r="10" spans="1:9" ht="15" customHeight="1">
      <c r="A10" s="129" t="s">
        <v>171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3" spans="1:9" ht="39.7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</v>
      </c>
      <c r="G13" s="4" t="s">
        <v>68</v>
      </c>
      <c r="H13" s="4" t="s">
        <v>69</v>
      </c>
      <c r="I13" s="5" t="s">
        <v>6</v>
      </c>
    </row>
    <row r="14" spans="1:9" ht="28.5" customHeight="1">
      <c r="A14" s="6">
        <v>1</v>
      </c>
      <c r="B14" s="26" t="s">
        <v>65</v>
      </c>
      <c r="C14" s="27" t="s">
        <v>10</v>
      </c>
      <c r="D14" s="124">
        <f>50+30+15</f>
        <v>95</v>
      </c>
      <c r="E14" s="42">
        <v>8.4</v>
      </c>
      <c r="F14" s="9">
        <f>D14*E14</f>
        <v>798</v>
      </c>
      <c r="G14" s="10">
        <v>0.05</v>
      </c>
      <c r="H14" s="45">
        <f>(F14*G14)/(100%+G14)</f>
        <v>38.00000000000001</v>
      </c>
      <c r="I14" s="11">
        <f>F14-H14</f>
        <v>760</v>
      </c>
    </row>
    <row r="15" spans="1:9" ht="26.25" customHeight="1">
      <c r="A15" s="6">
        <v>2</v>
      </c>
      <c r="B15" s="7" t="s">
        <v>26</v>
      </c>
      <c r="C15" s="27" t="s">
        <v>8</v>
      </c>
      <c r="D15" s="124">
        <f>30</f>
        <v>30</v>
      </c>
      <c r="E15" s="42">
        <v>3.96</v>
      </c>
      <c r="F15" s="9">
        <f aca="true" t="shared" si="0" ref="F15:F22">D15*E15</f>
        <v>118.8</v>
      </c>
      <c r="G15" s="10">
        <v>0.05</v>
      </c>
      <c r="H15" s="45">
        <f aca="true" t="shared" si="1" ref="H15:H23">(F15*G15)/(100%+G15)</f>
        <v>5.6571428571428575</v>
      </c>
      <c r="I15" s="11">
        <f aca="true" t="shared" si="2" ref="I15:I22">F15-H15</f>
        <v>113.14285714285714</v>
      </c>
    </row>
    <row r="16" spans="1:9" ht="26.25">
      <c r="A16" s="6">
        <v>3</v>
      </c>
      <c r="B16" s="26" t="s">
        <v>22</v>
      </c>
      <c r="C16" s="6" t="s">
        <v>10</v>
      </c>
      <c r="D16" s="124">
        <f>500+20+200+60</f>
        <v>780</v>
      </c>
      <c r="E16" s="42">
        <v>1.13</v>
      </c>
      <c r="F16" s="9">
        <f t="shared" si="0"/>
        <v>881.3999999999999</v>
      </c>
      <c r="G16" s="10">
        <v>0.05</v>
      </c>
      <c r="H16" s="45">
        <f t="shared" si="1"/>
        <v>41.97142857142856</v>
      </c>
      <c r="I16" s="11">
        <f t="shared" si="2"/>
        <v>839.4285714285713</v>
      </c>
    </row>
    <row r="17" spans="1:9" ht="26.25">
      <c r="A17" s="6">
        <v>4</v>
      </c>
      <c r="B17" s="7" t="s">
        <v>48</v>
      </c>
      <c r="C17" s="6" t="s">
        <v>10</v>
      </c>
      <c r="D17" s="124">
        <f>200+100+250</f>
        <v>550</v>
      </c>
      <c r="E17" s="42">
        <v>2.24</v>
      </c>
      <c r="F17" s="9">
        <f t="shared" si="0"/>
        <v>1232.0000000000002</v>
      </c>
      <c r="G17" s="10">
        <v>0.05</v>
      </c>
      <c r="H17" s="45">
        <f t="shared" si="1"/>
        <v>58.66666666666668</v>
      </c>
      <c r="I17" s="11">
        <f t="shared" si="2"/>
        <v>1173.3333333333335</v>
      </c>
    </row>
    <row r="18" spans="1:9" ht="26.25">
      <c r="A18" s="6">
        <v>5</v>
      </c>
      <c r="B18" s="7" t="s">
        <v>17</v>
      </c>
      <c r="C18" s="6" t="s">
        <v>8</v>
      </c>
      <c r="D18" s="124">
        <f>10+40+40+10</f>
        <v>100</v>
      </c>
      <c r="E18" s="42">
        <v>1.92</v>
      </c>
      <c r="F18" s="9">
        <f t="shared" si="0"/>
        <v>192</v>
      </c>
      <c r="G18" s="10">
        <v>0.05</v>
      </c>
      <c r="H18" s="45">
        <f t="shared" si="1"/>
        <v>9.142857142857144</v>
      </c>
      <c r="I18" s="11">
        <f t="shared" si="2"/>
        <v>182.85714285714286</v>
      </c>
    </row>
    <row r="19" spans="1:9" ht="21" customHeight="1">
      <c r="A19" s="6">
        <v>6</v>
      </c>
      <c r="B19" s="26" t="s">
        <v>27</v>
      </c>
      <c r="C19" s="27" t="s">
        <v>10</v>
      </c>
      <c r="D19" s="124">
        <f>10+40+70+20</f>
        <v>140</v>
      </c>
      <c r="E19" s="42">
        <v>7.92</v>
      </c>
      <c r="F19" s="9">
        <f t="shared" si="0"/>
        <v>1108.8</v>
      </c>
      <c r="G19" s="10">
        <v>0.05</v>
      </c>
      <c r="H19" s="45">
        <f t="shared" si="1"/>
        <v>52.8</v>
      </c>
      <c r="I19" s="11">
        <f t="shared" si="2"/>
        <v>1056</v>
      </c>
    </row>
    <row r="20" spans="1:9" ht="20.25" customHeight="1">
      <c r="A20" s="6">
        <v>7</v>
      </c>
      <c r="B20" s="26" t="s">
        <v>28</v>
      </c>
      <c r="C20" s="27" t="s">
        <v>10</v>
      </c>
      <c r="D20" s="124">
        <f>100+200+100+10</f>
        <v>410</v>
      </c>
      <c r="E20" s="42">
        <v>3.39</v>
      </c>
      <c r="F20" s="9">
        <f t="shared" si="0"/>
        <v>1389.9</v>
      </c>
      <c r="G20" s="10">
        <v>0.05</v>
      </c>
      <c r="H20" s="45">
        <f t="shared" si="1"/>
        <v>66.18571428571428</v>
      </c>
      <c r="I20" s="11">
        <f t="shared" si="2"/>
        <v>1323.7142857142858</v>
      </c>
    </row>
    <row r="21" spans="1:9" ht="21.75" customHeight="1">
      <c r="A21" s="6">
        <v>8</v>
      </c>
      <c r="B21" s="26" t="s">
        <v>29</v>
      </c>
      <c r="C21" s="27" t="s">
        <v>10</v>
      </c>
      <c r="D21" s="124">
        <f>100+200+200+30</f>
        <v>530</v>
      </c>
      <c r="E21" s="42">
        <v>5.31</v>
      </c>
      <c r="F21" s="9">
        <f t="shared" si="0"/>
        <v>2814.2999999999997</v>
      </c>
      <c r="G21" s="10">
        <v>0.05</v>
      </c>
      <c r="H21" s="45">
        <f t="shared" si="1"/>
        <v>134.0142857142857</v>
      </c>
      <c r="I21" s="11">
        <f t="shared" si="2"/>
        <v>2680.285714285714</v>
      </c>
    </row>
    <row r="22" spans="1:9" ht="31.5" customHeight="1">
      <c r="A22" s="6">
        <v>9</v>
      </c>
      <c r="B22" s="26" t="s">
        <v>30</v>
      </c>
      <c r="C22" s="27" t="s">
        <v>10</v>
      </c>
      <c r="D22" s="124">
        <f>600+500+360+50</f>
        <v>1510</v>
      </c>
      <c r="E22" s="42">
        <v>5.09</v>
      </c>
      <c r="F22" s="9">
        <f t="shared" si="0"/>
        <v>7685.9</v>
      </c>
      <c r="G22" s="10">
        <v>0.05</v>
      </c>
      <c r="H22" s="45">
        <f t="shared" si="1"/>
        <v>365.9952380952381</v>
      </c>
      <c r="I22" s="11">
        <f t="shared" si="2"/>
        <v>7319.9047619047615</v>
      </c>
    </row>
    <row r="23" spans="1:9" ht="24" customHeight="1">
      <c r="A23" s="6">
        <v>10</v>
      </c>
      <c r="B23" s="26" t="s">
        <v>47</v>
      </c>
      <c r="C23" s="27" t="s">
        <v>8</v>
      </c>
      <c r="D23" s="124">
        <f>300+800+800+400</f>
        <v>2300</v>
      </c>
      <c r="E23" s="42">
        <v>1.35</v>
      </c>
      <c r="F23" s="9">
        <f>D23*E23</f>
        <v>3105</v>
      </c>
      <c r="G23" s="10">
        <v>0.05</v>
      </c>
      <c r="H23" s="45">
        <f t="shared" si="1"/>
        <v>147.85714285714286</v>
      </c>
      <c r="I23" s="11">
        <f>F23-H23</f>
        <v>2957.1428571428573</v>
      </c>
    </row>
    <row r="24" spans="1:9" ht="12.75">
      <c r="A24" s="149">
        <v>11</v>
      </c>
      <c r="B24" s="179" t="s">
        <v>63</v>
      </c>
      <c r="C24" s="167" t="s">
        <v>10</v>
      </c>
      <c r="D24" s="170">
        <f>300+180+50+10</f>
        <v>540</v>
      </c>
      <c r="E24" s="173">
        <v>3.39</v>
      </c>
      <c r="F24" s="176">
        <f>D24*E24</f>
        <v>1830.6000000000001</v>
      </c>
      <c r="G24" s="140">
        <v>0.05</v>
      </c>
      <c r="H24" s="143">
        <f>(F24*G24)/(100%+G24)</f>
        <v>87.17142857142858</v>
      </c>
      <c r="I24" s="161">
        <f>F24-H24</f>
        <v>1743.4285714285716</v>
      </c>
    </row>
    <row r="25" spans="1:9" ht="12" customHeight="1">
      <c r="A25" s="150"/>
      <c r="B25" s="180"/>
      <c r="C25" s="168"/>
      <c r="D25" s="171"/>
      <c r="E25" s="174"/>
      <c r="F25" s="177"/>
      <c r="G25" s="141"/>
      <c r="H25" s="144"/>
      <c r="I25" s="162"/>
    </row>
    <row r="26" spans="1:9" ht="12.75" hidden="1">
      <c r="A26" s="151"/>
      <c r="B26" s="181"/>
      <c r="C26" s="169"/>
      <c r="D26" s="172"/>
      <c r="E26" s="175"/>
      <c r="F26" s="178"/>
      <c r="G26" s="142"/>
      <c r="H26" s="145"/>
      <c r="I26" s="163"/>
    </row>
    <row r="27" spans="1:9" ht="21.75" customHeight="1">
      <c r="A27" s="6">
        <v>12</v>
      </c>
      <c r="B27" s="26" t="s">
        <v>31</v>
      </c>
      <c r="C27" s="27" t="s">
        <v>10</v>
      </c>
      <c r="D27" s="124">
        <f>200+500+600+200</f>
        <v>1500</v>
      </c>
      <c r="E27" s="42">
        <v>3.96</v>
      </c>
      <c r="F27" s="9">
        <f>D27*E27</f>
        <v>5940</v>
      </c>
      <c r="G27" s="10">
        <v>0.05</v>
      </c>
      <c r="H27" s="45">
        <f>(F27*G27)/(100%+G27)</f>
        <v>282.85714285714283</v>
      </c>
      <c r="I27" s="11">
        <f>F27-H27</f>
        <v>5657.142857142857</v>
      </c>
    </row>
    <row r="28" spans="1:9" ht="21" customHeight="1">
      <c r="A28" s="6">
        <v>13</v>
      </c>
      <c r="B28" s="26" t="s">
        <v>32</v>
      </c>
      <c r="C28" s="27" t="s">
        <v>10</v>
      </c>
      <c r="D28" s="124">
        <f>200+200+60+30</f>
        <v>490</v>
      </c>
      <c r="E28" s="42">
        <v>5.31</v>
      </c>
      <c r="F28" s="9">
        <f aca="true" t="shared" si="3" ref="F28:F43">D28*E28</f>
        <v>2601.8999999999996</v>
      </c>
      <c r="G28" s="10">
        <v>0.05</v>
      </c>
      <c r="H28" s="45">
        <f aca="true" t="shared" si="4" ref="H28:H43">(F28*G28)/(100%+G28)</f>
        <v>123.89999999999999</v>
      </c>
      <c r="I28" s="11">
        <f aca="true" t="shared" si="5" ref="I28:I43">F28-H28</f>
        <v>2477.9999999999995</v>
      </c>
    </row>
    <row r="29" spans="1:9" ht="26.25" customHeight="1">
      <c r="A29" s="6">
        <v>14</v>
      </c>
      <c r="B29" s="26" t="s">
        <v>33</v>
      </c>
      <c r="C29" s="27" t="s">
        <v>10</v>
      </c>
      <c r="D29" s="124">
        <f>100+400+300+20</f>
        <v>820</v>
      </c>
      <c r="E29" s="42">
        <v>5.66</v>
      </c>
      <c r="F29" s="9">
        <f t="shared" si="3"/>
        <v>4641.2</v>
      </c>
      <c r="G29" s="10">
        <v>0.05</v>
      </c>
      <c r="H29" s="45">
        <f t="shared" si="4"/>
        <v>221.0095238095238</v>
      </c>
      <c r="I29" s="11">
        <f t="shared" si="5"/>
        <v>4420.190476190476</v>
      </c>
    </row>
    <row r="30" spans="1:9" ht="26.25">
      <c r="A30" s="6">
        <v>15</v>
      </c>
      <c r="B30" s="26" t="s">
        <v>34</v>
      </c>
      <c r="C30" s="6" t="s">
        <v>10</v>
      </c>
      <c r="D30" s="124">
        <f>2500+800+700+250</f>
        <v>4250</v>
      </c>
      <c r="E30" s="42">
        <v>2.31</v>
      </c>
      <c r="F30" s="9">
        <f t="shared" si="3"/>
        <v>9817.5</v>
      </c>
      <c r="G30" s="10">
        <v>0.05</v>
      </c>
      <c r="H30" s="45">
        <f t="shared" si="4"/>
        <v>467.5</v>
      </c>
      <c r="I30" s="11">
        <f t="shared" si="5"/>
        <v>9350</v>
      </c>
    </row>
    <row r="31" spans="1:9" ht="29.25" customHeight="1">
      <c r="A31" s="6">
        <v>16</v>
      </c>
      <c r="B31" s="26" t="s">
        <v>35</v>
      </c>
      <c r="C31" s="27" t="s">
        <v>8</v>
      </c>
      <c r="D31" s="124">
        <f>50+50</f>
        <v>100</v>
      </c>
      <c r="E31" s="42">
        <v>4.52</v>
      </c>
      <c r="F31" s="9">
        <f t="shared" si="3"/>
        <v>451.99999999999994</v>
      </c>
      <c r="G31" s="10">
        <v>0.05</v>
      </c>
      <c r="H31" s="45">
        <f t="shared" si="4"/>
        <v>21.523809523809522</v>
      </c>
      <c r="I31" s="11">
        <f t="shared" si="5"/>
        <v>430.4761904761904</v>
      </c>
    </row>
    <row r="32" spans="1:9" ht="26.25">
      <c r="A32" s="6">
        <v>17</v>
      </c>
      <c r="B32" s="7" t="s">
        <v>18</v>
      </c>
      <c r="C32" s="6" t="s">
        <v>10</v>
      </c>
      <c r="D32" s="124">
        <f>250+80+100+40</f>
        <v>470</v>
      </c>
      <c r="E32" s="42">
        <v>2.26</v>
      </c>
      <c r="F32" s="9">
        <f t="shared" si="3"/>
        <v>1062.1999999999998</v>
      </c>
      <c r="G32" s="10">
        <v>0.05</v>
      </c>
      <c r="H32" s="45">
        <f t="shared" si="4"/>
        <v>50.58095238095237</v>
      </c>
      <c r="I32" s="11">
        <f t="shared" si="5"/>
        <v>1011.6190476190475</v>
      </c>
    </row>
    <row r="33" spans="1:9" ht="26.25">
      <c r="A33" s="6">
        <v>18</v>
      </c>
      <c r="B33" s="26" t="s">
        <v>36</v>
      </c>
      <c r="C33" s="6" t="s">
        <v>10</v>
      </c>
      <c r="D33" s="124">
        <f>400+50+200+20</f>
        <v>670</v>
      </c>
      <c r="E33" s="42">
        <v>4.2</v>
      </c>
      <c r="F33" s="9">
        <f t="shared" si="3"/>
        <v>2814</v>
      </c>
      <c r="G33" s="10">
        <v>0.08</v>
      </c>
      <c r="H33" s="45">
        <f t="shared" si="4"/>
        <v>208.44444444444443</v>
      </c>
      <c r="I33" s="11">
        <f t="shared" si="5"/>
        <v>2605.5555555555557</v>
      </c>
    </row>
    <row r="34" spans="1:9" ht="27" customHeight="1">
      <c r="A34" s="6">
        <v>19</v>
      </c>
      <c r="B34" s="26" t="s">
        <v>24</v>
      </c>
      <c r="C34" s="27" t="s">
        <v>10</v>
      </c>
      <c r="D34" s="124">
        <f>40+50+150+10</f>
        <v>250</v>
      </c>
      <c r="E34" s="42">
        <v>2.49</v>
      </c>
      <c r="F34" s="9">
        <f t="shared" si="3"/>
        <v>622.5</v>
      </c>
      <c r="G34" s="10">
        <v>0.05</v>
      </c>
      <c r="H34" s="45">
        <f t="shared" si="4"/>
        <v>29.642857142857142</v>
      </c>
      <c r="I34" s="11">
        <f t="shared" si="5"/>
        <v>592.8571428571429</v>
      </c>
    </row>
    <row r="35" spans="1:9" ht="26.25">
      <c r="A35" s="6">
        <v>20</v>
      </c>
      <c r="B35" s="26" t="s">
        <v>42</v>
      </c>
      <c r="C35" s="27" t="s">
        <v>8</v>
      </c>
      <c r="D35" s="124">
        <f>80+50</f>
        <v>130</v>
      </c>
      <c r="E35" s="42">
        <v>4.53</v>
      </c>
      <c r="F35" s="9">
        <f t="shared" si="3"/>
        <v>588.9</v>
      </c>
      <c r="G35" s="10">
        <v>0.05</v>
      </c>
      <c r="H35" s="45">
        <f t="shared" si="4"/>
        <v>28.04285714285714</v>
      </c>
      <c r="I35" s="11">
        <f t="shared" si="5"/>
        <v>560.8571428571429</v>
      </c>
    </row>
    <row r="36" spans="1:9" ht="21.75" customHeight="1">
      <c r="A36" s="6">
        <v>21</v>
      </c>
      <c r="B36" s="26" t="s">
        <v>43</v>
      </c>
      <c r="C36" s="27" t="s">
        <v>44</v>
      </c>
      <c r="D36" s="124">
        <f>200+40+50+40</f>
        <v>330</v>
      </c>
      <c r="E36" s="42">
        <v>1.59</v>
      </c>
      <c r="F36" s="9">
        <f t="shared" si="3"/>
        <v>524.7</v>
      </c>
      <c r="G36" s="10">
        <v>0.05</v>
      </c>
      <c r="H36" s="45">
        <f t="shared" si="4"/>
        <v>24.985714285714288</v>
      </c>
      <c r="I36" s="11">
        <f t="shared" si="5"/>
        <v>499.7142857142858</v>
      </c>
    </row>
    <row r="37" spans="1:9" ht="27.75" customHeight="1">
      <c r="A37" s="6">
        <v>22</v>
      </c>
      <c r="B37" s="26" t="s">
        <v>64</v>
      </c>
      <c r="C37" s="27" t="s">
        <v>8</v>
      </c>
      <c r="D37" s="124">
        <f>30+630</f>
        <v>660</v>
      </c>
      <c r="E37" s="42">
        <v>4.41</v>
      </c>
      <c r="F37" s="9">
        <f t="shared" si="3"/>
        <v>2910.6</v>
      </c>
      <c r="G37" s="10">
        <v>0.05</v>
      </c>
      <c r="H37" s="45">
        <f t="shared" si="4"/>
        <v>138.6</v>
      </c>
      <c r="I37" s="11">
        <f t="shared" si="5"/>
        <v>2772</v>
      </c>
    </row>
    <row r="38" spans="1:9" ht="26.25">
      <c r="A38" s="6">
        <v>23</v>
      </c>
      <c r="B38" s="7" t="s">
        <v>37</v>
      </c>
      <c r="C38" s="6" t="s">
        <v>10</v>
      </c>
      <c r="D38" s="124">
        <f>300+200+200+60</f>
        <v>760</v>
      </c>
      <c r="E38" s="42">
        <v>1.7</v>
      </c>
      <c r="F38" s="9">
        <f t="shared" si="3"/>
        <v>1292</v>
      </c>
      <c r="G38" s="10">
        <v>0.05</v>
      </c>
      <c r="H38" s="45">
        <f t="shared" si="4"/>
        <v>61.52380952380953</v>
      </c>
      <c r="I38" s="11">
        <f t="shared" si="5"/>
        <v>1230.4761904761904</v>
      </c>
    </row>
    <row r="39" spans="1:9" ht="26.25" customHeight="1">
      <c r="A39" s="6">
        <v>24</v>
      </c>
      <c r="B39" s="7" t="s">
        <v>45</v>
      </c>
      <c r="C39" s="6" t="s">
        <v>8</v>
      </c>
      <c r="D39" s="124">
        <f>20+60</f>
        <v>80</v>
      </c>
      <c r="E39" s="42">
        <v>3.61</v>
      </c>
      <c r="F39" s="9">
        <f t="shared" si="3"/>
        <v>288.8</v>
      </c>
      <c r="G39" s="10">
        <v>0.05</v>
      </c>
      <c r="H39" s="45">
        <f t="shared" si="4"/>
        <v>13.752380952380953</v>
      </c>
      <c r="I39" s="11">
        <f t="shared" si="5"/>
        <v>275.04761904761904</v>
      </c>
    </row>
    <row r="40" spans="1:9" ht="26.25">
      <c r="A40" s="6">
        <v>25</v>
      </c>
      <c r="B40" s="7" t="s">
        <v>67</v>
      </c>
      <c r="C40" s="6" t="s">
        <v>8</v>
      </c>
      <c r="D40" s="124">
        <f>250+20+30+15</f>
        <v>315</v>
      </c>
      <c r="E40" s="42">
        <v>1.59</v>
      </c>
      <c r="F40" s="9">
        <f t="shared" si="3"/>
        <v>500.85</v>
      </c>
      <c r="G40" s="10">
        <v>0.05</v>
      </c>
      <c r="H40" s="45">
        <f t="shared" si="4"/>
        <v>23.85</v>
      </c>
      <c r="I40" s="11">
        <f t="shared" si="5"/>
        <v>477</v>
      </c>
    </row>
    <row r="41" spans="1:9" ht="27.75" customHeight="1">
      <c r="A41" s="6">
        <v>26</v>
      </c>
      <c r="B41" s="7" t="s">
        <v>57</v>
      </c>
      <c r="C41" s="6" t="s">
        <v>8</v>
      </c>
      <c r="D41" s="124">
        <f>30+40</f>
        <v>70</v>
      </c>
      <c r="E41" s="42">
        <v>1.59</v>
      </c>
      <c r="F41" s="9">
        <f t="shared" si="3"/>
        <v>111.30000000000001</v>
      </c>
      <c r="G41" s="10">
        <v>0.05</v>
      </c>
      <c r="H41" s="45">
        <f t="shared" si="4"/>
        <v>5.300000000000001</v>
      </c>
      <c r="I41" s="11">
        <f t="shared" si="5"/>
        <v>106.00000000000001</v>
      </c>
    </row>
    <row r="42" spans="1:9" ht="26.25">
      <c r="A42" s="6">
        <v>27</v>
      </c>
      <c r="B42" s="7" t="s">
        <v>46</v>
      </c>
      <c r="C42" s="6" t="s">
        <v>8</v>
      </c>
      <c r="D42" s="124">
        <f>40+10+40</f>
        <v>90</v>
      </c>
      <c r="E42" s="42">
        <v>1.59</v>
      </c>
      <c r="F42" s="9">
        <f t="shared" si="3"/>
        <v>143.1</v>
      </c>
      <c r="G42" s="10">
        <v>0.05</v>
      </c>
      <c r="H42" s="45">
        <f t="shared" si="4"/>
        <v>6.814285714285714</v>
      </c>
      <c r="I42" s="11">
        <f t="shared" si="5"/>
        <v>136.28571428571428</v>
      </c>
    </row>
    <row r="43" spans="1:9" ht="30" customHeight="1">
      <c r="A43" s="6">
        <v>28</v>
      </c>
      <c r="B43" s="26" t="s">
        <v>38</v>
      </c>
      <c r="C43" s="27" t="s">
        <v>10</v>
      </c>
      <c r="D43" s="124">
        <f>60+80+40+120</f>
        <v>300</v>
      </c>
      <c r="E43" s="42">
        <v>4.76</v>
      </c>
      <c r="F43" s="9">
        <f t="shared" si="3"/>
        <v>1428</v>
      </c>
      <c r="G43" s="10">
        <v>0.05</v>
      </c>
      <c r="H43" s="45">
        <f t="shared" si="4"/>
        <v>68</v>
      </c>
      <c r="I43" s="11">
        <f t="shared" si="5"/>
        <v>1360</v>
      </c>
    </row>
    <row r="44" spans="1:9" ht="36.75" customHeight="1">
      <c r="A44" s="149">
        <v>29</v>
      </c>
      <c r="B44" s="164" t="s">
        <v>19</v>
      </c>
      <c r="C44" s="149" t="s">
        <v>10</v>
      </c>
      <c r="D44" s="170">
        <f>150+200+300+60</f>
        <v>710</v>
      </c>
      <c r="E44" s="173">
        <v>3.96</v>
      </c>
      <c r="F44" s="176">
        <f>D44*E44</f>
        <v>2811.6</v>
      </c>
      <c r="G44" s="140">
        <v>0.05</v>
      </c>
      <c r="H44" s="143">
        <f>(F44*G44)/(100%+G44)</f>
        <v>133.8857142857143</v>
      </c>
      <c r="I44" s="161">
        <f>F44-H44</f>
        <v>2677.714285714286</v>
      </c>
    </row>
    <row r="45" spans="1:9" ht="12.75" hidden="1">
      <c r="A45" s="151"/>
      <c r="B45" s="166"/>
      <c r="C45" s="151"/>
      <c r="D45" s="172"/>
      <c r="E45" s="175"/>
      <c r="F45" s="178"/>
      <c r="G45" s="142"/>
      <c r="H45" s="145"/>
      <c r="I45" s="163"/>
    </row>
    <row r="46" spans="1:9" ht="12.75">
      <c r="A46" s="6">
        <v>30</v>
      </c>
      <c r="B46" s="26" t="s">
        <v>40</v>
      </c>
      <c r="C46" s="27" t="s">
        <v>10</v>
      </c>
      <c r="D46" s="124">
        <f>70+100+200+60</f>
        <v>430</v>
      </c>
      <c r="E46" s="42">
        <v>8.2</v>
      </c>
      <c r="F46" s="9">
        <f aca="true" t="shared" si="6" ref="F46:F51">D46*E46</f>
        <v>3525.9999999999995</v>
      </c>
      <c r="G46" s="10">
        <v>0.05</v>
      </c>
      <c r="H46" s="45">
        <f aca="true" t="shared" si="7" ref="H46:H51">(F46*G46)/(100%+G46)</f>
        <v>167.90476190476187</v>
      </c>
      <c r="I46" s="11">
        <f aca="true" t="shared" si="8" ref="I46:I51">F46-H46</f>
        <v>3358.0952380952376</v>
      </c>
    </row>
    <row r="47" spans="1:9" ht="39">
      <c r="A47" s="6">
        <v>31</v>
      </c>
      <c r="B47" s="7" t="s">
        <v>66</v>
      </c>
      <c r="C47" s="6" t="s">
        <v>10</v>
      </c>
      <c r="D47" s="124">
        <f>130+80+200+60</f>
        <v>470</v>
      </c>
      <c r="E47" s="42">
        <v>7.25</v>
      </c>
      <c r="F47" s="9">
        <f t="shared" si="6"/>
        <v>3407.5</v>
      </c>
      <c r="G47" s="10">
        <v>0.08</v>
      </c>
      <c r="H47" s="45">
        <f t="shared" si="7"/>
        <v>252.40740740740742</v>
      </c>
      <c r="I47" s="11">
        <f t="shared" si="8"/>
        <v>3155.0925925925926</v>
      </c>
    </row>
    <row r="48" spans="1:9" ht="26.25" customHeight="1">
      <c r="A48" s="6">
        <v>32</v>
      </c>
      <c r="B48" s="7" t="s">
        <v>41</v>
      </c>
      <c r="C48" s="6" t="s">
        <v>10</v>
      </c>
      <c r="D48" s="124">
        <f>200+200+160</f>
        <v>560</v>
      </c>
      <c r="E48" s="42">
        <v>10.17</v>
      </c>
      <c r="F48" s="9">
        <f t="shared" si="6"/>
        <v>5695.2</v>
      </c>
      <c r="G48" s="10">
        <v>0.05</v>
      </c>
      <c r="H48" s="45">
        <f t="shared" si="7"/>
        <v>271.2</v>
      </c>
      <c r="I48" s="11">
        <f t="shared" si="8"/>
        <v>5424</v>
      </c>
    </row>
    <row r="49" spans="1:9" ht="39">
      <c r="A49" s="6">
        <v>33</v>
      </c>
      <c r="B49" s="26" t="s">
        <v>23</v>
      </c>
      <c r="C49" s="6" t="s">
        <v>10</v>
      </c>
      <c r="D49" s="124">
        <f>65+200+100+70</f>
        <v>435</v>
      </c>
      <c r="E49" s="42">
        <v>4.53</v>
      </c>
      <c r="F49" s="9">
        <f t="shared" si="6"/>
        <v>1970.5500000000002</v>
      </c>
      <c r="G49" s="10">
        <v>0.05</v>
      </c>
      <c r="H49" s="45">
        <f t="shared" si="7"/>
        <v>93.8357142857143</v>
      </c>
      <c r="I49" s="11">
        <f t="shared" si="8"/>
        <v>1876.7142857142858</v>
      </c>
    </row>
    <row r="50" spans="1:9" ht="29.25" customHeight="1">
      <c r="A50" s="6">
        <v>34</v>
      </c>
      <c r="B50" s="7" t="s">
        <v>39</v>
      </c>
      <c r="C50" s="6" t="s">
        <v>10</v>
      </c>
      <c r="D50" s="124">
        <f>56+80+50</f>
        <v>186</v>
      </c>
      <c r="E50" s="42">
        <v>7.92</v>
      </c>
      <c r="F50" s="9">
        <f t="shared" si="6"/>
        <v>1473.12</v>
      </c>
      <c r="G50" s="10">
        <v>0.05</v>
      </c>
      <c r="H50" s="45">
        <f t="shared" si="7"/>
        <v>70.14857142857142</v>
      </c>
      <c r="I50" s="11">
        <f t="shared" si="8"/>
        <v>1402.9714285714285</v>
      </c>
    </row>
    <row r="51" spans="1:9" ht="25.5" customHeight="1">
      <c r="A51" s="149">
        <v>35</v>
      </c>
      <c r="B51" s="164" t="s">
        <v>20</v>
      </c>
      <c r="C51" s="167" t="s">
        <v>10</v>
      </c>
      <c r="D51" s="170">
        <f>130+200+250</f>
        <v>580</v>
      </c>
      <c r="E51" s="173">
        <v>4.52</v>
      </c>
      <c r="F51" s="176">
        <f t="shared" si="6"/>
        <v>2621.6</v>
      </c>
      <c r="G51" s="140">
        <v>0.05</v>
      </c>
      <c r="H51" s="143">
        <f t="shared" si="7"/>
        <v>124.83809523809525</v>
      </c>
      <c r="I51" s="161">
        <f t="shared" si="8"/>
        <v>2496.7619047619046</v>
      </c>
    </row>
    <row r="52" spans="1:9" ht="12.75" hidden="1">
      <c r="A52" s="150"/>
      <c r="B52" s="165"/>
      <c r="C52" s="168"/>
      <c r="D52" s="171"/>
      <c r="E52" s="174"/>
      <c r="F52" s="177"/>
      <c r="G52" s="141"/>
      <c r="H52" s="144"/>
      <c r="I52" s="162"/>
    </row>
    <row r="53" spans="1:9" ht="12.75" hidden="1">
      <c r="A53" s="150"/>
      <c r="B53" s="165"/>
      <c r="C53" s="168"/>
      <c r="D53" s="171"/>
      <c r="E53" s="174"/>
      <c r="F53" s="177"/>
      <c r="G53" s="141"/>
      <c r="H53" s="144"/>
      <c r="I53" s="162"/>
    </row>
    <row r="54" spans="1:9" ht="12.75" hidden="1">
      <c r="A54" s="151"/>
      <c r="B54" s="166"/>
      <c r="C54" s="169"/>
      <c r="D54" s="172"/>
      <c r="E54" s="175"/>
      <c r="F54" s="178"/>
      <c r="G54" s="142"/>
      <c r="H54" s="145"/>
      <c r="I54" s="163"/>
    </row>
    <row r="55" spans="1:9" ht="39">
      <c r="A55" s="50">
        <v>36</v>
      </c>
      <c r="B55" s="91" t="s">
        <v>21</v>
      </c>
      <c r="C55" s="50" t="s">
        <v>10</v>
      </c>
      <c r="D55" s="125">
        <f>3600+1000+7000+1000</f>
        <v>12600</v>
      </c>
      <c r="E55" s="88">
        <v>2.26</v>
      </c>
      <c r="F55" s="89">
        <f>D55*E55</f>
        <v>28475.999999999996</v>
      </c>
      <c r="G55" s="23">
        <v>0.05</v>
      </c>
      <c r="H55" s="90">
        <f>(F55*G55)/(100%+G55)</f>
        <v>1356</v>
      </c>
      <c r="I55" s="85">
        <f>F55-H55</f>
        <v>27119.999999999996</v>
      </c>
    </row>
    <row r="56" spans="1:9" ht="26.25">
      <c r="A56" s="54">
        <v>37</v>
      </c>
      <c r="B56" s="109" t="s">
        <v>180</v>
      </c>
      <c r="C56" s="54" t="s">
        <v>10</v>
      </c>
      <c r="D56" s="126">
        <v>50</v>
      </c>
      <c r="E56" s="127">
        <v>4</v>
      </c>
      <c r="F56" s="89">
        <f aca="true" t="shared" si="9" ref="F56:F63">D56*E56</f>
        <v>200</v>
      </c>
      <c r="G56" s="23">
        <v>0.05</v>
      </c>
      <c r="H56" s="90">
        <f aca="true" t="shared" si="10" ref="H56:H63">(F56*G56)/(100%+G56)</f>
        <v>9.523809523809524</v>
      </c>
      <c r="I56" s="85">
        <f aca="true" t="shared" si="11" ref="I56:I63">F56-H56</f>
        <v>190.47619047619048</v>
      </c>
    </row>
    <row r="57" spans="1:9" ht="12.75">
      <c r="A57" s="54">
        <v>38</v>
      </c>
      <c r="B57" s="109" t="s">
        <v>181</v>
      </c>
      <c r="C57" s="54" t="s">
        <v>10</v>
      </c>
      <c r="D57" s="126">
        <v>30</v>
      </c>
      <c r="E57" s="127">
        <v>8.4</v>
      </c>
      <c r="F57" s="89">
        <f t="shared" si="9"/>
        <v>252</v>
      </c>
      <c r="G57" s="23">
        <v>0.05</v>
      </c>
      <c r="H57" s="90">
        <f t="shared" si="10"/>
        <v>12</v>
      </c>
      <c r="I57" s="85">
        <f t="shared" si="11"/>
        <v>240</v>
      </c>
    </row>
    <row r="58" spans="1:9" ht="12.75">
      <c r="A58" s="54">
        <v>39</v>
      </c>
      <c r="B58" s="109" t="s">
        <v>182</v>
      </c>
      <c r="C58" s="54" t="s">
        <v>10</v>
      </c>
      <c r="D58" s="126">
        <v>30</v>
      </c>
      <c r="E58" s="127">
        <v>8.4</v>
      </c>
      <c r="F58" s="89">
        <f t="shared" si="9"/>
        <v>252</v>
      </c>
      <c r="G58" s="23">
        <v>0.05</v>
      </c>
      <c r="H58" s="90">
        <f t="shared" si="10"/>
        <v>12</v>
      </c>
      <c r="I58" s="85">
        <f t="shared" si="11"/>
        <v>240</v>
      </c>
    </row>
    <row r="59" spans="1:9" ht="12.75">
      <c r="A59" s="54">
        <v>40</v>
      </c>
      <c r="B59" s="109" t="s">
        <v>184</v>
      </c>
      <c r="C59" s="54" t="s">
        <v>10</v>
      </c>
      <c r="D59" s="126">
        <f>30+15</f>
        <v>45</v>
      </c>
      <c r="E59" s="127">
        <v>5.25</v>
      </c>
      <c r="F59" s="89">
        <f t="shared" si="9"/>
        <v>236.25</v>
      </c>
      <c r="G59" s="23">
        <v>0.05</v>
      </c>
      <c r="H59" s="90">
        <f t="shared" si="10"/>
        <v>11.25</v>
      </c>
      <c r="I59" s="85">
        <f t="shared" si="11"/>
        <v>225</v>
      </c>
    </row>
    <row r="60" spans="1:9" ht="12.75">
      <c r="A60" s="54">
        <v>41</v>
      </c>
      <c r="B60" s="109" t="s">
        <v>186</v>
      </c>
      <c r="C60" s="54" t="s">
        <v>10</v>
      </c>
      <c r="D60" s="126">
        <v>30</v>
      </c>
      <c r="E60" s="127">
        <v>5.25</v>
      </c>
      <c r="F60" s="89">
        <f t="shared" si="9"/>
        <v>157.5</v>
      </c>
      <c r="G60" s="23">
        <v>0.05</v>
      </c>
      <c r="H60" s="90">
        <f t="shared" si="10"/>
        <v>7.5</v>
      </c>
      <c r="I60" s="85">
        <f t="shared" si="11"/>
        <v>150</v>
      </c>
    </row>
    <row r="61" spans="1:9" ht="12.75">
      <c r="A61" s="54">
        <v>42</v>
      </c>
      <c r="B61" s="109" t="s">
        <v>185</v>
      </c>
      <c r="C61" s="54" t="s">
        <v>10</v>
      </c>
      <c r="D61" s="126">
        <v>30</v>
      </c>
      <c r="E61" s="127">
        <v>5.25</v>
      </c>
      <c r="F61" s="89">
        <f t="shared" si="9"/>
        <v>157.5</v>
      </c>
      <c r="G61" s="23">
        <v>0.05</v>
      </c>
      <c r="H61" s="90">
        <f t="shared" si="10"/>
        <v>7.5</v>
      </c>
      <c r="I61" s="85">
        <f t="shared" si="11"/>
        <v>150</v>
      </c>
    </row>
    <row r="62" spans="1:9" ht="12.75">
      <c r="A62" s="54">
        <v>43</v>
      </c>
      <c r="B62" s="109" t="s">
        <v>187</v>
      </c>
      <c r="C62" s="54" t="s">
        <v>10</v>
      </c>
      <c r="D62" s="126">
        <v>50</v>
      </c>
      <c r="E62" s="127">
        <v>4.2</v>
      </c>
      <c r="F62" s="89">
        <f t="shared" si="9"/>
        <v>210</v>
      </c>
      <c r="G62" s="23">
        <v>0.05</v>
      </c>
      <c r="H62" s="90">
        <f t="shared" si="10"/>
        <v>10</v>
      </c>
      <c r="I62" s="85">
        <f t="shared" si="11"/>
        <v>200</v>
      </c>
    </row>
    <row r="63" spans="1:9" ht="30.75" customHeight="1">
      <c r="A63" s="110">
        <v>44</v>
      </c>
      <c r="B63" s="122" t="s">
        <v>188</v>
      </c>
      <c r="C63" s="110" t="s">
        <v>10</v>
      </c>
      <c r="D63" s="110">
        <v>50</v>
      </c>
      <c r="E63" s="128">
        <v>8.72</v>
      </c>
      <c r="F63" s="106">
        <f t="shared" si="9"/>
        <v>436.00000000000006</v>
      </c>
      <c r="G63" s="123">
        <v>0.05</v>
      </c>
      <c r="H63" s="100">
        <f t="shared" si="10"/>
        <v>20.761904761904766</v>
      </c>
      <c r="I63" s="85">
        <f t="shared" si="11"/>
        <v>415.2380952380953</v>
      </c>
    </row>
    <row r="64" spans="1:9" ht="15" customHeight="1">
      <c r="A64" s="16"/>
      <c r="B64" s="16"/>
      <c r="C64" s="16"/>
      <c r="D64" s="16"/>
      <c r="E64" s="13"/>
      <c r="F64" s="119">
        <f>SUM(F14:F63)</f>
        <v>108779.06999999999</v>
      </c>
      <c r="G64" s="120"/>
      <c r="H64" s="120"/>
      <c r="I64" s="121">
        <f>SUM(I14:I63)</f>
        <v>103434.52433862434</v>
      </c>
    </row>
    <row r="65" spans="1:9" ht="15.75" customHeight="1">
      <c r="A65" s="16"/>
      <c r="B65" s="25"/>
      <c r="C65" s="16"/>
      <c r="D65" s="16"/>
      <c r="E65" s="16"/>
      <c r="F65" s="16"/>
      <c r="G65" s="16"/>
      <c r="H65" s="16"/>
      <c r="I65" s="16"/>
    </row>
    <row r="66" spans="1:5" ht="15.75" customHeight="1">
      <c r="A66" s="16"/>
      <c r="B66" s="16"/>
      <c r="C66" s="16"/>
      <c r="D66" s="16"/>
      <c r="E66" s="17" t="s">
        <v>11</v>
      </c>
    </row>
    <row r="67" spans="2:6" ht="15.75" customHeight="1">
      <c r="B67" s="25"/>
      <c r="C67" s="16"/>
      <c r="D67" s="16"/>
      <c r="F67" t="s">
        <v>13</v>
      </c>
    </row>
    <row r="68" spans="2:9" ht="15.75" customHeight="1">
      <c r="B68" s="25"/>
      <c r="C68" s="16"/>
      <c r="D68" s="16"/>
      <c r="E68" s="16"/>
      <c r="F68" s="16"/>
      <c r="G68" s="16"/>
      <c r="H68" s="16"/>
      <c r="I68" s="16"/>
    </row>
    <row r="69" ht="15" customHeight="1">
      <c r="B69" s="25"/>
    </row>
    <row r="70" ht="15" customHeight="1"/>
    <row r="71" ht="15" customHeight="1"/>
    <row r="72" spans="3:4" ht="15" customHeight="1">
      <c r="C72" s="17"/>
      <c r="D72" s="17"/>
    </row>
    <row r="73" spans="3:9" ht="15" customHeight="1">
      <c r="C73" s="18" t="s">
        <v>12</v>
      </c>
      <c r="I73" s="18"/>
    </row>
  </sheetData>
  <sheetProtection selectLockedCells="1" selectUnlockedCells="1"/>
  <mergeCells count="28">
    <mergeCell ref="A10:I11"/>
    <mergeCell ref="A24:A26"/>
    <mergeCell ref="B24:B26"/>
    <mergeCell ref="C24:C26"/>
    <mergeCell ref="D24:D26"/>
    <mergeCell ref="E24:E26"/>
    <mergeCell ref="F24:F26"/>
    <mergeCell ref="G24:G26"/>
    <mergeCell ref="H24:H26"/>
    <mergeCell ref="I24:I26"/>
    <mergeCell ref="F51:F54"/>
    <mergeCell ref="G51:G54"/>
    <mergeCell ref="A44:A45"/>
    <mergeCell ref="B44:B45"/>
    <mergeCell ref="C44:C45"/>
    <mergeCell ref="D44:D45"/>
    <mergeCell ref="E44:E45"/>
    <mergeCell ref="F44:F45"/>
    <mergeCell ref="H51:H54"/>
    <mergeCell ref="I51:I54"/>
    <mergeCell ref="G44:G45"/>
    <mergeCell ref="H44:H45"/>
    <mergeCell ref="I44:I45"/>
    <mergeCell ref="A51:A54"/>
    <mergeCell ref="B51:B54"/>
    <mergeCell ref="C51:C54"/>
    <mergeCell ref="D51:D54"/>
    <mergeCell ref="E51:E54"/>
  </mergeCells>
  <printOptions horizontalCentered="1"/>
  <pageMargins left="0.7875" right="0.7875" top="0.5201388888888889" bottom="0.6402777777777777" header="0.5118055555555555" footer="0.5118055555555555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98" zoomScaleSheetLayoutView="98" zoomScalePageLayoutView="0" workbookViewId="0" topLeftCell="A20">
      <selection activeCell="I39" sqref="I39"/>
    </sheetView>
  </sheetViews>
  <sheetFormatPr defaultColWidth="9.140625" defaultRowHeight="12.75"/>
  <cols>
    <col min="1" max="1" width="6.28125" style="0" customWidth="1"/>
    <col min="2" max="2" width="59.8515625" style="0" customWidth="1"/>
    <col min="3" max="3" width="9.28125" style="0" customWidth="1"/>
    <col min="4" max="4" width="7.8515625" style="0" customWidth="1"/>
    <col min="5" max="5" width="9.8515625" style="0" customWidth="1"/>
    <col min="6" max="6" width="16.28125" style="0" customWidth="1"/>
    <col min="7" max="7" width="8.7109375" style="0" customWidth="1"/>
    <col min="8" max="8" width="10.28125" style="0" customWidth="1"/>
    <col min="9" max="9" width="19.421875" style="0" customWidth="1"/>
  </cols>
  <sheetData>
    <row r="1" spans="6:9" ht="15">
      <c r="F1" s="1"/>
      <c r="G1" s="1"/>
      <c r="H1" s="1"/>
      <c r="I1" s="2"/>
    </row>
    <row r="2" spans="2:9" ht="13.5">
      <c r="B2" s="41"/>
      <c r="F2" s="1"/>
      <c r="G2" s="1"/>
      <c r="H2" s="1"/>
      <c r="I2" s="1"/>
    </row>
    <row r="3" spans="2:9" ht="13.5">
      <c r="B3" t="s">
        <v>173</v>
      </c>
      <c r="F3" s="1"/>
      <c r="G3" s="40" t="s">
        <v>94</v>
      </c>
      <c r="H3" s="40"/>
      <c r="I3" s="1"/>
    </row>
    <row r="4" spans="6:9" ht="12.75">
      <c r="F4" s="1"/>
      <c r="G4" s="1"/>
      <c r="H4" s="1"/>
      <c r="I4" s="1"/>
    </row>
    <row r="5" ht="15">
      <c r="B5" s="3"/>
    </row>
    <row r="6" ht="12.75">
      <c r="B6" s="13" t="s">
        <v>0</v>
      </c>
    </row>
    <row r="7" ht="12.75">
      <c r="B7" s="13" t="s">
        <v>1</v>
      </c>
    </row>
    <row r="10" spans="1:9" ht="15" customHeight="1">
      <c r="A10" s="129" t="s">
        <v>74</v>
      </c>
      <c r="B10" s="129"/>
      <c r="C10" s="129"/>
      <c r="D10" s="129"/>
      <c r="E10" s="129"/>
      <c r="F10" s="129"/>
      <c r="G10" s="129"/>
      <c r="H10" s="129"/>
      <c r="I10" s="129"/>
    </row>
    <row r="11" spans="1:9" ht="15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ht="15" customHeight="1"/>
    <row r="13" spans="1:9" ht="45" customHeight="1">
      <c r="A13" s="4" t="s">
        <v>2</v>
      </c>
      <c r="B13" s="4" t="s">
        <v>3</v>
      </c>
      <c r="C13" s="4" t="s">
        <v>4</v>
      </c>
      <c r="D13" s="4" t="s">
        <v>5</v>
      </c>
      <c r="E13" s="4" t="s">
        <v>61</v>
      </c>
      <c r="F13" s="4" t="s">
        <v>7</v>
      </c>
      <c r="G13" s="4" t="s">
        <v>68</v>
      </c>
      <c r="H13" s="4" t="s">
        <v>69</v>
      </c>
      <c r="I13" s="5" t="s">
        <v>6</v>
      </c>
    </row>
    <row r="14" spans="1:9" ht="40.5" customHeight="1">
      <c r="A14" s="6">
        <v>1</v>
      </c>
      <c r="B14" s="7" t="s">
        <v>75</v>
      </c>
      <c r="C14" s="27" t="s">
        <v>8</v>
      </c>
      <c r="D14" s="8">
        <f>100+90+200+17</f>
        <v>407</v>
      </c>
      <c r="E14" s="42">
        <v>16.17</v>
      </c>
      <c r="F14" s="9">
        <f>D14*E14</f>
        <v>6581.1900000000005</v>
      </c>
      <c r="G14" s="48">
        <v>0.05</v>
      </c>
      <c r="H14" s="45">
        <f>(F14*G14)/(100%+G14)</f>
        <v>313.39000000000004</v>
      </c>
      <c r="I14" s="11">
        <f>F14-H14</f>
        <v>6267.8</v>
      </c>
    </row>
    <row r="15" spans="1:9" ht="36.75" customHeight="1">
      <c r="A15" s="6">
        <v>2</v>
      </c>
      <c r="B15" s="26" t="s">
        <v>77</v>
      </c>
      <c r="C15" s="27" t="s">
        <v>8</v>
      </c>
      <c r="D15" s="8">
        <f>40+40</f>
        <v>80</v>
      </c>
      <c r="E15" s="42">
        <v>13.29</v>
      </c>
      <c r="F15" s="9">
        <f aca="true" t="shared" si="0" ref="F15:F37">D15*E15</f>
        <v>1063.1999999999998</v>
      </c>
      <c r="G15" s="48">
        <v>0.05</v>
      </c>
      <c r="H15" s="45">
        <f aca="true" t="shared" si="1" ref="H15:H37">(F15*G15)/(100%+G15)</f>
        <v>50.628571428571426</v>
      </c>
      <c r="I15" s="11">
        <f aca="true" t="shared" si="2" ref="I15:I37">F15-H15</f>
        <v>1012.5714285714284</v>
      </c>
    </row>
    <row r="16" spans="1:9" ht="39" customHeight="1">
      <c r="A16" s="6">
        <v>3</v>
      </c>
      <c r="B16" s="26" t="s">
        <v>78</v>
      </c>
      <c r="C16" s="27" t="s">
        <v>8</v>
      </c>
      <c r="D16" s="8">
        <f>100+200</f>
        <v>300</v>
      </c>
      <c r="E16" s="42">
        <v>19.17</v>
      </c>
      <c r="F16" s="9">
        <f t="shared" si="0"/>
        <v>5751.000000000001</v>
      </c>
      <c r="G16" s="48">
        <v>0.05</v>
      </c>
      <c r="H16" s="45">
        <f t="shared" si="1"/>
        <v>273.8571428571429</v>
      </c>
      <c r="I16" s="11">
        <f t="shared" si="2"/>
        <v>5477.142857142858</v>
      </c>
    </row>
    <row r="17" spans="1:9" ht="41.25" customHeight="1">
      <c r="A17" s="6" t="s">
        <v>89</v>
      </c>
      <c r="B17" s="26" t="s">
        <v>79</v>
      </c>
      <c r="C17" s="6" t="s">
        <v>8</v>
      </c>
      <c r="D17" s="8">
        <f>80+30+20</f>
        <v>130</v>
      </c>
      <c r="E17" s="42">
        <v>14.48</v>
      </c>
      <c r="F17" s="9">
        <f t="shared" si="0"/>
        <v>1882.4</v>
      </c>
      <c r="G17" s="48">
        <v>0.05</v>
      </c>
      <c r="H17" s="45">
        <f t="shared" si="1"/>
        <v>89.63809523809523</v>
      </c>
      <c r="I17" s="11">
        <f t="shared" si="2"/>
        <v>1792.7619047619048</v>
      </c>
    </row>
    <row r="18" spans="1:9" ht="40.5" customHeight="1">
      <c r="A18" s="6">
        <v>5</v>
      </c>
      <c r="B18" s="26" t="s">
        <v>80</v>
      </c>
      <c r="C18" s="27" t="s">
        <v>8</v>
      </c>
      <c r="D18" s="8">
        <f>30+50</f>
        <v>80</v>
      </c>
      <c r="E18" s="42">
        <v>16.85</v>
      </c>
      <c r="F18" s="9">
        <f t="shared" si="0"/>
        <v>1348</v>
      </c>
      <c r="G18" s="48">
        <v>0.05</v>
      </c>
      <c r="H18" s="45">
        <f t="shared" si="1"/>
        <v>64.19047619047619</v>
      </c>
      <c r="I18" s="11">
        <f t="shared" si="2"/>
        <v>1283.8095238095239</v>
      </c>
    </row>
    <row r="19" spans="1:9" ht="28.5" customHeight="1">
      <c r="A19" s="6">
        <v>6</v>
      </c>
      <c r="B19" s="26" t="s">
        <v>81</v>
      </c>
      <c r="C19" s="27" t="s">
        <v>10</v>
      </c>
      <c r="D19" s="8">
        <f>300+315+150+170</f>
        <v>935</v>
      </c>
      <c r="E19" s="42">
        <v>36.64</v>
      </c>
      <c r="F19" s="9">
        <f t="shared" si="0"/>
        <v>34258.4</v>
      </c>
      <c r="G19" s="48">
        <v>0.05</v>
      </c>
      <c r="H19" s="45">
        <f t="shared" si="1"/>
        <v>1631.352380952381</v>
      </c>
      <c r="I19" s="11">
        <f t="shared" si="2"/>
        <v>32627.047619047622</v>
      </c>
    </row>
    <row r="20" spans="1:9" ht="28.5" customHeight="1">
      <c r="A20" s="6">
        <v>7</v>
      </c>
      <c r="B20" s="26" t="s">
        <v>90</v>
      </c>
      <c r="C20" s="27" t="s">
        <v>10</v>
      </c>
      <c r="D20" s="8">
        <v>300</v>
      </c>
      <c r="E20" s="42">
        <v>28.35</v>
      </c>
      <c r="F20" s="9">
        <f t="shared" si="0"/>
        <v>8505</v>
      </c>
      <c r="G20" s="48">
        <v>0.05</v>
      </c>
      <c r="H20" s="45">
        <f t="shared" si="1"/>
        <v>405</v>
      </c>
      <c r="I20" s="11">
        <f t="shared" si="2"/>
        <v>8100</v>
      </c>
    </row>
    <row r="21" spans="1:9" ht="28.5" customHeight="1">
      <c r="A21" s="6">
        <v>8</v>
      </c>
      <c r="B21" s="26" t="s">
        <v>174</v>
      </c>
      <c r="C21" s="27" t="s">
        <v>10</v>
      </c>
      <c r="D21" s="8">
        <f>200</f>
        <v>200</v>
      </c>
      <c r="E21" s="42">
        <v>24.15</v>
      </c>
      <c r="F21" s="9">
        <f t="shared" si="0"/>
        <v>4830</v>
      </c>
      <c r="G21" s="48">
        <v>0.05</v>
      </c>
      <c r="H21" s="45">
        <f t="shared" si="1"/>
        <v>230</v>
      </c>
      <c r="I21" s="11">
        <f t="shared" si="2"/>
        <v>4600</v>
      </c>
    </row>
    <row r="22" spans="1:9" ht="27.75" customHeight="1" hidden="1">
      <c r="A22" s="6"/>
      <c r="B22" s="26"/>
      <c r="C22" s="27"/>
      <c r="D22" s="8"/>
      <c r="E22" s="42"/>
      <c r="F22" s="9"/>
      <c r="G22" s="48"/>
      <c r="H22" s="45"/>
      <c r="I22" s="11"/>
    </row>
    <row r="23" spans="1:9" ht="32.25" customHeight="1">
      <c r="A23" s="6">
        <v>9</v>
      </c>
      <c r="B23" s="26" t="s">
        <v>82</v>
      </c>
      <c r="C23" s="27" t="s">
        <v>8</v>
      </c>
      <c r="D23" s="8">
        <f>60+50+100+11</f>
        <v>221</v>
      </c>
      <c r="E23" s="42">
        <v>11.15</v>
      </c>
      <c r="F23" s="9">
        <f t="shared" si="0"/>
        <v>2464.15</v>
      </c>
      <c r="G23" s="48">
        <v>0.05</v>
      </c>
      <c r="H23" s="45">
        <f t="shared" si="1"/>
        <v>117.3404761904762</v>
      </c>
      <c r="I23" s="11">
        <f t="shared" si="2"/>
        <v>2346.809523809524</v>
      </c>
    </row>
    <row r="24" spans="1:9" ht="44.25" customHeight="1">
      <c r="A24" s="6">
        <v>10</v>
      </c>
      <c r="B24" s="26" t="s">
        <v>83</v>
      </c>
      <c r="C24" s="27" t="s">
        <v>8</v>
      </c>
      <c r="D24" s="8">
        <f>50+21+70+20</f>
        <v>161</v>
      </c>
      <c r="E24" s="42">
        <v>14.6</v>
      </c>
      <c r="F24" s="9">
        <f t="shared" si="0"/>
        <v>2350.6</v>
      </c>
      <c r="G24" s="48">
        <v>0.05</v>
      </c>
      <c r="H24" s="45">
        <f t="shared" si="1"/>
        <v>111.93333333333332</v>
      </c>
      <c r="I24" s="11">
        <f t="shared" si="2"/>
        <v>2238.6666666666665</v>
      </c>
    </row>
    <row r="25" spans="1:9" ht="40.5" customHeight="1">
      <c r="A25" s="6">
        <v>11</v>
      </c>
      <c r="B25" s="26" t="s">
        <v>84</v>
      </c>
      <c r="C25" s="27" t="s">
        <v>8</v>
      </c>
      <c r="D25" s="8">
        <f>60+200</f>
        <v>260</v>
      </c>
      <c r="E25" s="42">
        <v>13.12</v>
      </c>
      <c r="F25" s="9">
        <f t="shared" si="0"/>
        <v>3411.2</v>
      </c>
      <c r="G25" s="48">
        <v>0.05</v>
      </c>
      <c r="H25" s="45">
        <f t="shared" si="1"/>
        <v>162.43809523809523</v>
      </c>
      <c r="I25" s="11">
        <f t="shared" si="2"/>
        <v>3248.7619047619046</v>
      </c>
    </row>
    <row r="26" spans="1:9" ht="16.5" customHeight="1" hidden="1">
      <c r="A26" s="6"/>
      <c r="B26" s="26"/>
      <c r="C26" s="27"/>
      <c r="D26" s="8"/>
      <c r="E26" s="42"/>
      <c r="F26" s="9"/>
      <c r="G26" s="48"/>
      <c r="H26" s="45"/>
      <c r="I26" s="11"/>
    </row>
    <row r="27" spans="1:9" ht="28.5" customHeight="1">
      <c r="A27" s="6">
        <v>12</v>
      </c>
      <c r="B27" s="26" t="s">
        <v>85</v>
      </c>
      <c r="C27" s="27" t="s">
        <v>8</v>
      </c>
      <c r="D27" s="8">
        <f>100+32+80</f>
        <v>212</v>
      </c>
      <c r="E27" s="42">
        <v>10.86</v>
      </c>
      <c r="F27" s="9">
        <f t="shared" si="0"/>
        <v>2302.3199999999997</v>
      </c>
      <c r="G27" s="48">
        <v>0.05</v>
      </c>
      <c r="H27" s="45">
        <f t="shared" si="1"/>
        <v>109.6342857142857</v>
      </c>
      <c r="I27" s="11">
        <f t="shared" si="2"/>
        <v>2192.685714285714</v>
      </c>
    </row>
    <row r="28" spans="1:9" ht="30.75" customHeight="1">
      <c r="A28" s="6">
        <v>13</v>
      </c>
      <c r="B28" s="26" t="s">
        <v>86</v>
      </c>
      <c r="C28" s="27" t="s">
        <v>8</v>
      </c>
      <c r="D28" s="8">
        <f>30+200+20</f>
        <v>250</v>
      </c>
      <c r="E28" s="42">
        <v>20.58</v>
      </c>
      <c r="F28" s="9">
        <f t="shared" si="0"/>
        <v>5145</v>
      </c>
      <c r="G28" s="48">
        <v>0.05</v>
      </c>
      <c r="H28" s="45">
        <f t="shared" si="1"/>
        <v>245</v>
      </c>
      <c r="I28" s="11">
        <f t="shared" si="2"/>
        <v>4900</v>
      </c>
    </row>
    <row r="29" spans="1:9" ht="33" customHeight="1">
      <c r="A29" s="6">
        <v>14</v>
      </c>
      <c r="B29" s="26" t="s">
        <v>87</v>
      </c>
      <c r="C29" s="27" t="s">
        <v>8</v>
      </c>
      <c r="D29" s="8">
        <f>100+80</f>
        <v>180</v>
      </c>
      <c r="E29" s="42">
        <v>10.7</v>
      </c>
      <c r="F29" s="9">
        <f t="shared" si="0"/>
        <v>1925.9999999999998</v>
      </c>
      <c r="G29" s="48">
        <v>0.05</v>
      </c>
      <c r="H29" s="45">
        <f t="shared" si="1"/>
        <v>91.71428571428571</v>
      </c>
      <c r="I29" s="11">
        <f t="shared" si="2"/>
        <v>1834.285714285714</v>
      </c>
    </row>
    <row r="30" spans="1:9" ht="41.25" customHeight="1">
      <c r="A30" s="6">
        <v>15</v>
      </c>
      <c r="B30" s="26" t="s">
        <v>88</v>
      </c>
      <c r="C30" s="27" t="s">
        <v>8</v>
      </c>
      <c r="D30" s="8">
        <f>40+200</f>
        <v>240</v>
      </c>
      <c r="E30" s="42">
        <v>14.6</v>
      </c>
      <c r="F30" s="9">
        <f t="shared" si="0"/>
        <v>3504</v>
      </c>
      <c r="G30" s="48">
        <v>0.05</v>
      </c>
      <c r="H30" s="45">
        <f t="shared" si="1"/>
        <v>166.85714285714286</v>
      </c>
      <c r="I30" s="11">
        <f t="shared" si="2"/>
        <v>3337.1428571428573</v>
      </c>
    </row>
    <row r="31" spans="1:9" ht="27.75" customHeight="1">
      <c r="A31" s="6">
        <v>16</v>
      </c>
      <c r="B31" s="26" t="s">
        <v>92</v>
      </c>
      <c r="C31" s="27" t="s">
        <v>8</v>
      </c>
      <c r="D31" s="8">
        <f>80+30+20</f>
        <v>130</v>
      </c>
      <c r="E31" s="42">
        <v>14.6</v>
      </c>
      <c r="F31" s="9">
        <f t="shared" si="0"/>
        <v>1898</v>
      </c>
      <c r="G31" s="48">
        <v>0.05</v>
      </c>
      <c r="H31" s="45">
        <f t="shared" si="1"/>
        <v>90.38095238095238</v>
      </c>
      <c r="I31" s="11">
        <f t="shared" si="2"/>
        <v>1807.6190476190477</v>
      </c>
    </row>
    <row r="32" spans="1:9" ht="38.25" customHeight="1">
      <c r="A32" s="50">
        <v>17</v>
      </c>
      <c r="B32" s="56" t="s">
        <v>91</v>
      </c>
      <c r="C32" s="86" t="s">
        <v>8</v>
      </c>
      <c r="D32" s="87">
        <f>90+105</f>
        <v>195</v>
      </c>
      <c r="E32" s="88">
        <v>18.61</v>
      </c>
      <c r="F32" s="89">
        <f t="shared" si="0"/>
        <v>3628.95</v>
      </c>
      <c r="G32" s="101">
        <v>0.05</v>
      </c>
      <c r="H32" s="90">
        <f t="shared" si="1"/>
        <v>172.80714285714285</v>
      </c>
      <c r="I32" s="85">
        <f t="shared" si="2"/>
        <v>3456.142857142857</v>
      </c>
    </row>
    <row r="33" spans="1:9" ht="24.75" customHeight="1">
      <c r="A33" s="54">
        <v>18</v>
      </c>
      <c r="B33" s="102" t="s">
        <v>176</v>
      </c>
      <c r="C33" s="103" t="s">
        <v>8</v>
      </c>
      <c r="D33" s="104">
        <v>50</v>
      </c>
      <c r="E33" s="105">
        <v>11.55</v>
      </c>
      <c r="F33" s="89">
        <f t="shared" si="0"/>
        <v>577.5</v>
      </c>
      <c r="G33" s="101">
        <v>0.05</v>
      </c>
      <c r="H33" s="90">
        <f t="shared" si="1"/>
        <v>27.5</v>
      </c>
      <c r="I33" s="85">
        <f t="shared" si="2"/>
        <v>550</v>
      </c>
    </row>
    <row r="34" spans="1:9" ht="25.5" customHeight="1">
      <c r="A34" s="54">
        <v>19</v>
      </c>
      <c r="B34" s="102" t="s">
        <v>177</v>
      </c>
      <c r="C34" s="103" t="s">
        <v>16</v>
      </c>
      <c r="D34" s="104">
        <v>50</v>
      </c>
      <c r="E34" s="105">
        <v>19.47</v>
      </c>
      <c r="F34" s="89">
        <f t="shared" si="0"/>
        <v>973.5</v>
      </c>
      <c r="G34" s="101">
        <v>0.05</v>
      </c>
      <c r="H34" s="90">
        <f t="shared" si="1"/>
        <v>46.35714285714286</v>
      </c>
      <c r="I34" s="85">
        <f t="shared" si="2"/>
        <v>927.1428571428571</v>
      </c>
    </row>
    <row r="35" spans="1:9" ht="28.5" customHeight="1">
      <c r="A35" s="54">
        <v>20</v>
      </c>
      <c r="B35" s="102" t="s">
        <v>178</v>
      </c>
      <c r="C35" s="103" t="s">
        <v>8</v>
      </c>
      <c r="D35" s="104">
        <v>50</v>
      </c>
      <c r="E35" s="105">
        <v>11.55</v>
      </c>
      <c r="F35" s="89">
        <f t="shared" si="0"/>
        <v>577.5</v>
      </c>
      <c r="G35" s="101">
        <v>0.05</v>
      </c>
      <c r="H35" s="90">
        <f t="shared" si="1"/>
        <v>27.5</v>
      </c>
      <c r="I35" s="85">
        <f t="shared" si="2"/>
        <v>550</v>
      </c>
    </row>
    <row r="36" spans="1:9" ht="28.5" customHeight="1">
      <c r="A36" s="54">
        <v>21</v>
      </c>
      <c r="B36" s="102" t="s">
        <v>179</v>
      </c>
      <c r="C36" s="103" t="s">
        <v>8</v>
      </c>
      <c r="D36" s="104">
        <v>40</v>
      </c>
      <c r="E36" s="105">
        <v>6.27</v>
      </c>
      <c r="F36" s="106">
        <f t="shared" si="0"/>
        <v>250.79999999999998</v>
      </c>
      <c r="G36" s="101">
        <v>0.05</v>
      </c>
      <c r="H36" s="90">
        <f t="shared" si="1"/>
        <v>11.942857142857141</v>
      </c>
      <c r="I36" s="85">
        <f t="shared" si="2"/>
        <v>238.85714285714283</v>
      </c>
    </row>
    <row r="37" spans="1:9" ht="30.75" customHeight="1">
      <c r="A37" s="54">
        <v>22</v>
      </c>
      <c r="B37" s="102" t="s">
        <v>175</v>
      </c>
      <c r="C37" s="103" t="s">
        <v>8</v>
      </c>
      <c r="D37" s="104">
        <v>25</v>
      </c>
      <c r="E37" s="105">
        <v>10.76</v>
      </c>
      <c r="F37" s="106">
        <f t="shared" si="0"/>
        <v>269</v>
      </c>
      <c r="G37" s="107">
        <v>0.05</v>
      </c>
      <c r="H37" s="49">
        <f t="shared" si="1"/>
        <v>12.80952380952381</v>
      </c>
      <c r="I37" s="108">
        <f t="shared" si="2"/>
        <v>256.1904761904762</v>
      </c>
    </row>
    <row r="38" spans="1:9" ht="15.75" customHeight="1">
      <c r="A38" s="13"/>
      <c r="F38" s="80">
        <f>SUM(F14:F37)</f>
        <v>93497.70999999999</v>
      </c>
      <c r="G38" s="81"/>
      <c r="H38" s="82"/>
      <c r="I38" s="83">
        <f>SUM(I14:I37)</f>
        <v>89045.4380952381</v>
      </c>
    </row>
    <row r="39" spans="1:9" ht="32.25" customHeight="1">
      <c r="A39" s="16"/>
      <c r="B39" s="38"/>
      <c r="E39" t="s">
        <v>13</v>
      </c>
      <c r="I39" s="16"/>
    </row>
    <row r="40" spans="1:9" ht="9" customHeight="1">
      <c r="A40" s="16"/>
      <c r="B40" s="16"/>
      <c r="C40" s="16"/>
      <c r="D40" s="16"/>
      <c r="E40" s="16"/>
      <c r="F40" s="16"/>
      <c r="G40" s="16"/>
      <c r="H40" s="16"/>
      <c r="I40" s="16"/>
    </row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spans="3:4" ht="15" customHeight="1" hidden="1">
      <c r="C46" s="17"/>
      <c r="D46" s="17" t="s">
        <v>11</v>
      </c>
    </row>
    <row r="47" spans="3:9" ht="15" customHeight="1">
      <c r="C47" s="18" t="s">
        <v>12</v>
      </c>
      <c r="I47" s="18"/>
    </row>
  </sheetData>
  <sheetProtection/>
  <mergeCells count="1">
    <mergeCell ref="A10:I11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 Kornacka</dc:creator>
  <cp:keywords/>
  <dc:description/>
  <cp:lastModifiedBy>Dyrektor</cp:lastModifiedBy>
  <cp:lastPrinted>2021-07-05T09:32:59Z</cp:lastPrinted>
  <dcterms:created xsi:type="dcterms:W3CDTF">2016-10-10T06:15:34Z</dcterms:created>
  <dcterms:modified xsi:type="dcterms:W3CDTF">2021-07-29T08:40:53Z</dcterms:modified>
  <cp:category/>
  <cp:version/>
  <cp:contentType/>
  <cp:contentStatus/>
</cp:coreProperties>
</file>